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1" documentId="8_{4A3DA555-C1D5-442B-AA61-044A8017D85F}" xr6:coauthVersionLast="47" xr6:coauthVersionMax="47" xr10:uidLastSave="{90631467-AB56-429F-AF44-EB0378D73B5A}"/>
  <workbookProtection workbookAlgorithmName="SHA-512" workbookHashValue="B7bG1DNtDMdafsNuqOsofSmcl+cdcJ2my3ScovDplQDOisnsxgvi7V4av1nW7/IUSHI+4cMFlQ7OvzFOH8wvxQ==" workbookSaltValue="2Am5W1m4wEyyeywcFJK8jg==" workbookSpinCount="100000" lockStructure="1"/>
  <bookViews>
    <workbookView xWindow="28680" yWindow="-120" windowWidth="29040" windowHeight="15720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9" l="1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D17" i="6" l="1"/>
  <c r="D15" i="6"/>
  <c r="D13" i="6"/>
  <c r="D11" i="6"/>
  <c r="D9" i="6"/>
  <c r="AK252" i="2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AB14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AT11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5" i="6" l="1"/>
  <c r="K37" i="6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<sst xmlns="http://schemas.openxmlformats.org/spreadsheetml/2006/main" count="6763" uniqueCount="2759">
  <si>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</si>
  <si>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</si>
  <si>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</si>
  <si>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</si>
  <si>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</si>
  <si>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</si>
  <si>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</si>
  <si>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</si>
  <si>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</si>
  <si>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</si>
  <si>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</si>
  <si>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</si>
  <si>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</si>
  <si>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</si>
  <si>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</si>
  <si>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</si>
  <si>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</si>
  <si>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</si>
  <si>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</si>
  <si>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</si>
  <si>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</si>
  <si>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</si>
  <si>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</si>
  <si>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</si>
  <si>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</si>
  <si>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</si>
  <si>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</si>
  <si>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</si>
  <si>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</si>
  <si>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</si>
  <si>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</si>
  <si>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</si>
  <si>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</si>
  <si>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</si>
  <si>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</si>
  <si>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</si>
  <si>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</si>
  <si>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</si>
  <si>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</si>
  <si>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</si>
  <si>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</si>
  <si>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</si>
  <si>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</si>
  <si>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</si>
  <si>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</si>
  <si>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</si>
  <si>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</si>
  <si>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</si>
  <si>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</si>
  <si>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</si>
  <si>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</si>
  <si>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</si>
  <si>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</si>
  <si>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</si>
  <si>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</si>
  <si>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</si>
  <si>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</si>
  <si>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</si>
  <si>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</si>
  <si>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</si>
  <si>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</si>
  <si>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</si>
  <si>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</si>
  <si>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</si>
  <si>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</si>
  <si>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</si>
  <si>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</si>
  <si>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</si>
  <si>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</si>
  <si>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</si>
  <si>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</si>
  <si>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</si>
  <si>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</si>
  <si>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</si>
  <si>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</si>
  <si>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</si>
  <si>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</si>
  <si>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</si>
  <si>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</si>
  <si>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</si>
  <si>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</si>
  <si>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</si>
  <si>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</si>
  <si>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</si>
  <si>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</si>
  <si>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</si>
  <si>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</si>
  <si>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</si>
  <si>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</si>
  <si>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</si>
  <si>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</si>
  <si>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</si>
  <si>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</si>
  <si>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</si>
  <si>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</si>
  <si>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</si>
  <si>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</si>
  <si>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</si>
  <si>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</si>
  <si>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</si>
  <si>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</si>
  <si>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</si>
  <si>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</si>
  <si>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</si>
  <si>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</si>
  <si>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</si>
  <si>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</si>
  <si>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</si>
  <si>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</si>
  <si>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</si>
  <si>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</si>
  <si>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</si>
  <si>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</si>
  <si>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</si>
  <si>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</si>
  <si>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</si>
  <si>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</si>
  <si>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</si>
  <si>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</si>
  <si>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</si>
  <si>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</si>
  <si>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</si>
  <si>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</si>
  <si>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</si>
  <si>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</si>
  <si>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</si>
  <si>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</si>
  <si>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</si>
  <si>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</si>
  <si>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</si>
  <si>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</si>
  <si>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</si>
  <si>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</si>
  <si>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</si>
  <si>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</si>
  <si>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</si>
  <si>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</si>
  <si>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</si>
  <si>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</si>
  <si>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</si>
  <si>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</si>
  <si>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</si>
  <si>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</si>
  <si>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</si>
  <si>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</si>
  <si>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</si>
  <si>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</si>
  <si>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</si>
  <si>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</si>
  <si>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</si>
  <si>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</si>
  <si>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</si>
  <si>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</si>
  <si>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</si>
  <si>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</si>
  <si>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</si>
  <si>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</si>
  <si>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</si>
  <si>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</si>
  <si>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</si>
  <si>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</si>
  <si>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</si>
  <si>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</si>
  <si>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</si>
  <si>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</si>
  <si>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</si>
  <si>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</si>
  <si>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</si>
  <si>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</si>
  <si>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</si>
  <si>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</si>
  <si>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</si>
  <si>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</si>
  <si>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</si>
  <si>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</si>
  <si>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</si>
  <si>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</si>
  <si>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</si>
  <si>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</si>
  <si>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</si>
  <si>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</si>
  <si>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</si>
  <si>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</si>
  <si>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</si>
  <si>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</si>
  <si>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</si>
  <si>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</si>
  <si>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</si>
  <si>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</si>
  <si>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</si>
  <si>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</si>
  <si>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</si>
  <si>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</si>
  <si>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</si>
  <si>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</si>
  <si>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</si>
  <si>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</si>
  <si>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</si>
  <si>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</si>
  <si>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</si>
  <si>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</si>
  <si>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</si>
  <si>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</si>
  <si>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</si>
  <si>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</si>
  <si>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</si>
  <si>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</si>
  <si>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</si>
  <si>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</si>
  <si>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</si>
  <si>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</si>
  <si>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</si>
  <si>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</si>
  <si>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</si>
  <si>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</si>
  <si>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</si>
  <si>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</si>
  <si>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</si>
  <si>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</si>
  <si>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</si>
  <si>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</si>
  <si>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</si>
  <si>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</si>
  <si>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</si>
  <si>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</si>
  <si>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</si>
  <si>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</si>
  <si>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</si>
  <si>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</si>
  <si>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</si>
  <si>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</si>
  <si>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</si>
  <si>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</si>
  <si>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</si>
  <si>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</si>
  <si>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</si>
  <si>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</si>
  <si>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</si>
  <si>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</si>
  <si>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</si>
  <si>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</si>
  <si>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</si>
  <si>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</si>
  <si>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</si>
  <si>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</si>
  <si>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</si>
  <si>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</si>
  <si>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</si>
  <si>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</si>
  <si>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</si>
  <si>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</si>
  <si>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</si>
  <si>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</si>
  <si>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</si>
  <si>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</si>
  <si>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</si>
  <si>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</si>
  <si>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</si>
  <si>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</si>
  <si>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</si>
  <si>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</si>
  <si>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</si>
  <si>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</si>
  <si>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</si>
  <si>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</si>
  <si>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</si>
  <si>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</si>
  <si>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</si>
  <si>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</si>
  <si>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</si>
  <si>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</si>
  <si>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</si>
  <si>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</si>
  <si>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</si>
  <si>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</si>
  <si>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</si>
  <si>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</si>
  <si>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</si>
  <si>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</si>
  <si>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</si>
  <si>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</si>
  <si>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</si>
  <si>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</si>
  <si>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</si>
  <si>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</si>
  <si>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</si>
  <si>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</si>
  <si>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</si>
  <si>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</si>
  <si>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</si>
  <si>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</si>
  <si>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</si>
  <si>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</si>
  <si>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</si>
  <si>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</si>
  <si>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</si>
  <si>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</si>
  <si>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</si>
  <si>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</si>
  <si>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</si>
  <si>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</si>
  <si>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</si>
  <si>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</si>
  <si>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</si>
  <si>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</si>
  <si>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</si>
  <si>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</si>
  <si>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</si>
  <si>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</si>
  <si>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</si>
  <si>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</si>
  <si>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</si>
  <si>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</si>
  <si>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</si>
  <si>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</si>
  <si>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</si>
  <si>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</si>
  <si>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</si>
  <si>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</si>
  <si>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</si>
  <si>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</si>
  <si>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</si>
  <si>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</si>
  <si>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</si>
  <si>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</si>
  <si>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</si>
  <si>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</si>
  <si>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</si>
  <si>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</si>
  <si>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</si>
  <si>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</si>
  <si>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</si>
  <si>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</si>
  <si>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</si>
  <si>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</si>
  <si>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</si>
  <si>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</si>
  <si>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</si>
  <si>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</si>
  <si>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</si>
  <si>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</si>
  <si>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</si>
  <si>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</si>
  <si>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</si>
  <si>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</si>
  <si>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</si>
  <si>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</si>
  <si>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</si>
  <si>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</si>
  <si>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</si>
  <si>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</si>
  <si>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</si>
  <si>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</si>
  <si>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</si>
  <si>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</si>
  <si>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</si>
  <si>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</si>
  <si>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</si>
  <si>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</si>
  <si>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</si>
  <si>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</si>
  <si>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</si>
  <si>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</si>
  <si>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</si>
  <si>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</si>
  <si>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</si>
  <si>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</si>
  <si>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</si>
  <si>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</si>
  <si>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</si>
  <si>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</si>
  <si>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</si>
  <si>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</si>
  <si>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</si>
  <si>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</si>
  <si>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</si>
  <si>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</si>
  <si>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</si>
  <si>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</si>
  <si>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</si>
  <si>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</si>
  <si>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</si>
  <si>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</si>
  <si>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</si>
  <si>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</si>
  <si>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</si>
  <si>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</si>
  <si>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</si>
  <si>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</si>
  <si>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</si>
  <si>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</si>
  <si>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</si>
  <si>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</si>
  <si>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</si>
  <si>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</si>
  <si>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</si>
  <si>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</si>
  <si>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</si>
  <si>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</si>
  <si>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</si>
  <si>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</si>
  <si>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</si>
  <si>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</si>
  <si>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</si>
  <si>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</si>
  <si>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</si>
  <si>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</si>
  <si>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</si>
  <si>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</si>
  <si>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</si>
  <si>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</si>
  <si>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</si>
  <si>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</si>
  <si>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</si>
  <si>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</si>
  <si>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</si>
  <si>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</si>
  <si>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</si>
  <si>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</si>
  <si>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</si>
  <si>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</si>
  <si>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</si>
  <si>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</si>
  <si>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</si>
  <si>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</si>
  <si>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</si>
  <si>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</si>
  <si>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</si>
  <si>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</si>
  <si>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</si>
  <si>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</si>
  <si>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</si>
  <si>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</si>
  <si>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</si>
  <si>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</si>
  <si>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</si>
  <si>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</si>
  <si>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</si>
  <si>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</si>
  <si>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</si>
  <si>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</si>
  <si>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</si>
  <si>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</si>
  <si>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</si>
  <si>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</si>
  <si>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</si>
  <si>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</si>
  <si>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</si>
  <si>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</si>
  <si>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</si>
  <si>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</si>
  <si>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</si>
  <si>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</si>
  <si>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</si>
  <si>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</si>
  <si>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</si>
  <si>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</si>
  <si>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</si>
  <si>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</si>
  <si>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</si>
  <si>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</si>
  <si>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</si>
  <si>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</si>
  <si>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</si>
  <si>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</si>
  <si>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</si>
  <si>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</si>
  <si>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</si>
  <si>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</si>
  <si>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</si>
  <si>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</si>
  <si>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</si>
  <si>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</si>
  <si>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</si>
  <si>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</si>
  <si>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</si>
  <si>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</si>
  <si>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</si>
  <si>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</si>
  <si>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</si>
  <si>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</si>
  <si>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</si>
  <si>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</si>
  <si>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</si>
  <si>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</si>
  <si>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</si>
  <si>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</si>
  <si>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</si>
  <si>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</si>
  <si>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</si>
  <si>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</si>
  <si>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</si>
  <si>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</si>
  <si>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</si>
  <si>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</si>
  <si>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</si>
  <si>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</si>
  <si>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</si>
  <si>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</si>
  <si>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</si>
  <si>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</si>
  <si>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</si>
  <si>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</si>
  <si>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</si>
  <si>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</si>
  <si>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</si>
  <si>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</si>
  <si>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</si>
  <si>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</si>
  <si>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</si>
  <si>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</si>
  <si>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</si>
  <si>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</si>
  <si>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</si>
  <si>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</si>
  <si>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</si>
  <si>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</si>
  <si>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</si>
  <si>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</si>
  <si>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</si>
  <si>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</si>
  <si>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</si>
  <si>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</si>
  <si>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</si>
  <si>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</si>
  <si>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</si>
  <si>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</si>
  <si>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</si>
  <si>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</si>
  <si>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</si>
  <si>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</si>
  <si>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</si>
  <si>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</si>
  <si>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</si>
  <si>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</si>
  <si>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</si>
  <si>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</si>
  <si>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</si>
  <si>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</si>
  <si>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</si>
  <si>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</si>
  <si>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</si>
  <si>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</si>
  <si>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</si>
  <si>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</si>
  <si>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</si>
  <si>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</si>
  <si>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</si>
  <si>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</si>
  <si>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</si>
  <si>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</si>
  <si>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</si>
  <si>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</si>
  <si>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</si>
  <si>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</si>
  <si>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</si>
  <si>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</si>
  <si>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</si>
  <si>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</si>
  <si>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</si>
  <si>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</si>
  <si>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</si>
  <si>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</si>
  <si>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</si>
  <si>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</si>
  <si>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</si>
  <si>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</si>
  <si>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</si>
  <si>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</si>
  <si>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</si>
  <si>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</si>
  <si>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</si>
  <si>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</si>
  <si>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</si>
  <si>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</si>
  <si>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</si>
  <si>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</si>
  <si>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</si>
  <si>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</si>
  <si>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</si>
  <si>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</si>
  <si>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</si>
  <si>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</si>
  <si>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</si>
  <si>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</si>
  <si>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</si>
  <si>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</si>
  <si>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</si>
  <si>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</si>
  <si>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</si>
  <si>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</si>
  <si>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</si>
  <si>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</si>
  <si>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</si>
  <si>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</si>
  <si>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</si>
  <si>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</si>
  <si>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</si>
  <si>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</si>
  <si>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</si>
  <si>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</si>
  <si>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</si>
  <si>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</si>
  <si>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</si>
  <si>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</si>
  <si>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</si>
  <si>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</si>
  <si>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</si>
  <si>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</si>
  <si>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</si>
  <si>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</si>
  <si>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</si>
  <si>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</si>
  <si>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</si>
  <si>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</si>
  <si>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</si>
  <si>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</si>
  <si>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</si>
  <si>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</si>
  <si>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</si>
  <si>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</si>
  <si>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</si>
  <si>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</si>
  <si>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</si>
  <si>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</si>
  <si>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</si>
  <si>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</si>
  <si>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</si>
  <si>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</si>
  <si>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</si>
  <si>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</si>
  <si>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</si>
  <si>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</si>
  <si>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</si>
  <si>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</si>
  <si>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</si>
  <si>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</si>
  <si>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</si>
  <si>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</si>
  <si>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</si>
  <si>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</si>
  <si>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</si>
  <si>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</si>
  <si>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</si>
  <si>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</si>
  <si>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</si>
  <si>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</si>
  <si>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</si>
  <si>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</si>
  <si>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</si>
  <si>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</si>
  <si>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</si>
  <si>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</si>
  <si>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</si>
  <si>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</si>
  <si>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</si>
  <si>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</si>
  <si>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</si>
  <si>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</si>
  <si>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</si>
  <si>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</si>
  <si>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</si>
  <si>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</si>
  <si>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</si>
  <si>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</si>
  <si>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</si>
  <si>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</si>
  <si>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</si>
  <si>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</si>
  <si>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</si>
  <si>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</si>
  <si>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</si>
  <si>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</si>
  <si>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</si>
  <si>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</si>
  <si>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</si>
  <si>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</si>
  <si>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</si>
  <si>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</si>
  <si>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</si>
  <si>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</si>
  <si>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</si>
  <si>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</si>
  <si>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</si>
  <si>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</si>
  <si>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</si>
  <si>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</si>
  <si>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</si>
  <si>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</si>
  <si>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</si>
  <si>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</si>
  <si>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</si>
  <si>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</si>
  <si>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</si>
  <si>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</si>
  <si>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</si>
  <si>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</si>
  <si>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</si>
  <si>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</si>
  <si>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</si>
  <si>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</si>
  <si>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</si>
  <si>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</si>
  <si>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</si>
  <si>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</si>
  <si>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</si>
  <si>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</si>
  <si>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</si>
  <si>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</si>
  <si>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</si>
  <si>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</si>
  <si>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</si>
  <si>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</si>
  <si>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</si>
  <si>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</si>
  <si>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</si>
  <si>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</si>
  <si>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</si>
  <si>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</si>
  <si>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</si>
  <si>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</si>
  <si>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</si>
  <si>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</si>
  <si>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</si>
  <si>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</si>
  <si>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</si>
  <si>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</si>
  <si>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</si>
  <si>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</si>
  <si>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</si>
  <si>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</si>
  <si>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</si>
  <si>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</si>
  <si>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</si>
  <si>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</si>
  <si>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</si>
  <si>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</si>
  <si>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</si>
  <si>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</si>
  <si>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</si>
  <si>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</si>
  <si>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</si>
  <si>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</si>
  <si>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</si>
  <si>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</si>
  <si>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</si>
  <si>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</si>
  <si>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</si>
  <si>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</si>
  <si>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</si>
  <si>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</si>
  <si>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</si>
  <si>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</si>
  <si>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</si>
  <si>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</si>
  <si>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</si>
  <si>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</si>
  <si>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</si>
  <si>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</si>
  <si>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</si>
  <si>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</si>
  <si>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</si>
  <si>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</si>
  <si>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</si>
  <si>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</si>
  <si>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</si>
  <si>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</si>
  <si>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</si>
  <si>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</si>
  <si>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</si>
  <si>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</si>
  <si>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</si>
  <si>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</si>
  <si>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</si>
  <si>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</si>
  <si>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</si>
  <si>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</si>
  <si>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</si>
  <si>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</si>
  <si>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</si>
  <si>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</si>
  <si>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</si>
  <si>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</si>
  <si>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</si>
  <si>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</si>
  <si>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</si>
  <si>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</si>
  <si>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</si>
  <si>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</si>
  <si>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</si>
  <si>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</si>
  <si>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</si>
  <si>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</si>
  <si>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</si>
  <si>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</si>
  <si>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</si>
  <si>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</si>
  <si>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</si>
  <si>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</si>
  <si>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</si>
  <si>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</si>
  <si>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</si>
  <si>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</si>
  <si>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</si>
  <si>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</si>
  <si>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</si>
  <si>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</si>
  <si>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</si>
  <si>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</si>
  <si>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</si>
  <si>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</si>
  <si>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</si>
  <si>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</si>
  <si>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</si>
  <si>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</si>
  <si>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</si>
  <si>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</si>
  <si>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</si>
  <si>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</si>
  <si>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</si>
  <si>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</si>
  <si>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</si>
  <si>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</si>
  <si>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</si>
  <si>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</si>
  <si>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</si>
  <si>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</si>
  <si>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</si>
  <si>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</si>
  <si>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</si>
  <si>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</si>
  <si>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</si>
  <si>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</si>
  <si>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</si>
  <si>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</si>
  <si>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</si>
  <si>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</si>
  <si>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</si>
  <si>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</si>
  <si>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</si>
  <si>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</si>
  <si>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</si>
  <si>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</si>
  <si>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</si>
  <si>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</si>
  <si>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</si>
  <si>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</si>
  <si>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</si>
  <si>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</si>
  <si>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</si>
  <si>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</si>
  <si>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</si>
  <si>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</si>
  <si>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</si>
  <si>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</si>
  <si>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</si>
  <si>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</si>
  <si>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</si>
  <si>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</si>
  <si>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</si>
  <si>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</si>
  <si>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</si>
  <si>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</si>
  <si>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</si>
  <si>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</si>
  <si>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</si>
  <si>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</si>
  <si>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</si>
  <si>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</si>
  <si>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</si>
  <si>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</si>
  <si>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</si>
  <si>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</si>
  <si>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</si>
  <si>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</si>
  <si>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</si>
  <si>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</si>
  <si>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</si>
  <si>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</si>
  <si>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</si>
  <si>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</si>
  <si>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</si>
  <si>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</si>
  <si>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</si>
  <si>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</si>
  <si>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</si>
  <si>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</si>
  <si>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</si>
  <si>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</si>
  <si>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</si>
  <si>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</si>
  <si>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</si>
  <si>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</si>
  <si>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</si>
  <si>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</si>
  <si>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</si>
  <si>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</si>
  <si>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</si>
  <si>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</si>
  <si>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</si>
  <si>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</si>
  <si>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</si>
  <si>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</si>
  <si>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</si>
  <si>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</si>
  <si>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</si>
  <si>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</si>
  <si>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</si>
  <si>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</si>
  <si>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</si>
  <si>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</si>
  <si>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</si>
  <si>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</si>
  <si>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</si>
  <si>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</si>
  <si>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</si>
  <si>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</si>
  <si>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</si>
  <si>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</si>
  <si>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</si>
  <si>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</si>
  <si>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</si>
  <si>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</si>
  <si>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</si>
  <si>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</si>
  <si>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</si>
  <si>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</si>
  <si>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</si>
  <si>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</si>
  <si>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</si>
  <si>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</si>
  <si>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</si>
  <si>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</si>
  <si>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</si>
  <si>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</si>
  <si>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</si>
  <si>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</si>
  <si>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</si>
  <si>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</si>
  <si>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</si>
  <si>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</si>
  <si>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</si>
  <si>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</si>
  <si>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</si>
  <si>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</si>
  <si>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</si>
  <si>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</si>
  <si>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</si>
  <si>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</si>
  <si>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</si>
  <si>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</si>
  <si>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</si>
  <si>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</si>
  <si>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</si>
  <si>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</si>
  <si>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</si>
  <si>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</si>
  <si>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</si>
  <si>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</si>
  <si>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</si>
  <si>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</si>
  <si>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</si>
  <si>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</si>
  <si>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</si>
  <si>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</si>
  <si>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</si>
  <si>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</si>
  <si>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</si>
  <si>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</si>
  <si>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</si>
  <si>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</si>
  <si>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</si>
  <si>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</si>
  <si>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</si>
  <si>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</si>
  <si>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</si>
  <si>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</si>
  <si>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</si>
  <si>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</si>
  <si>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</si>
  <si>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</si>
  <si>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</si>
  <si>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</si>
  <si>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</si>
  <si>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</si>
  <si>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</si>
  <si>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</si>
  <si>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</si>
  <si>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</si>
  <si>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</si>
  <si>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</si>
  <si>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</si>
  <si>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</si>
  <si>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</si>
  <si>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</si>
  <si>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</si>
  <si>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</si>
  <si>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</si>
  <si>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</si>
  <si>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</si>
  <si>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</si>
  <si>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</si>
  <si>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</si>
  <si>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</si>
  <si>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</si>
  <si>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</si>
  <si>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</si>
  <si>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</si>
  <si>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</si>
  <si>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</si>
  <si>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</si>
  <si>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</si>
  <si>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</si>
  <si>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</si>
  <si>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</si>
  <si>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</si>
  <si>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</si>
  <si>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</si>
  <si>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</si>
  <si>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</si>
  <si>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</si>
  <si>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</si>
  <si>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</si>
  <si>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</si>
  <si>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</si>
  <si>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</si>
  <si>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</si>
  <si>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</si>
  <si>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</si>
  <si>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</si>
  <si>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</si>
  <si>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</si>
  <si>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</si>
  <si>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</si>
  <si>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</si>
  <si>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</si>
  <si>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</si>
  <si>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</si>
  <si>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</si>
  <si>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</si>
  <si>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</si>
  <si>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</si>
  <si>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</si>
  <si>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</si>
  <si>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</si>
  <si>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</si>
  <si>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</si>
  <si>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</si>
  <si>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</si>
  <si>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</si>
  <si>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</si>
  <si>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</si>
  <si>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</si>
  <si>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</si>
  <si>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</si>
  <si>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</si>
  <si>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</si>
  <si>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</si>
  <si>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</si>
  <si>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</si>
  <si>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</si>
  <si>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</si>
  <si>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</si>
  <si>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</si>
  <si>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</si>
  <si>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</si>
  <si>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</si>
  <si>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</si>
  <si>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</si>
  <si>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</si>
  <si>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</si>
  <si>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</si>
  <si>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</si>
  <si>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</si>
  <si>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</si>
  <si>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</si>
  <si>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</si>
  <si>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</si>
  <si>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</si>
  <si>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</si>
  <si>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</si>
  <si>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</si>
  <si>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</si>
  <si>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</si>
  <si>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</si>
  <si>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</si>
  <si>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</si>
  <si>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</si>
  <si>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</si>
  <si>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</si>
  <si>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</si>
  <si>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</si>
  <si>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</si>
  <si>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</si>
  <si>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</si>
  <si>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</si>
  <si>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</si>
  <si>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</si>
  <si>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</si>
  <si>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</si>
  <si>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</si>
  <si>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</si>
  <si>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</si>
  <si>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</si>
  <si>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</si>
  <si>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</si>
  <si>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</si>
  <si>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</si>
  <si>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</si>
  <si>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</si>
  <si>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</si>
  <si>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</si>
  <si>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</si>
  <si>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</si>
  <si>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</si>
  <si>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</si>
  <si>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</si>
  <si>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</si>
  <si>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</si>
  <si>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</si>
  <si>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</si>
  <si>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</si>
  <si>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</si>
  <si>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</si>
  <si>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</si>
  <si>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</si>
  <si>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</si>
  <si>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</si>
  <si>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</si>
  <si>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</si>
  <si>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</si>
  <si>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</si>
  <si>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</si>
  <si>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</si>
  <si>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</si>
  <si>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</si>
  <si>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</si>
  <si>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</si>
  <si>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</si>
  <si>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</si>
  <si>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</si>
  <si>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</si>
  <si>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</si>
  <si>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</si>
  <si>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</si>
  <si>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</si>
  <si>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</si>
  <si>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</si>
  <si>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</si>
  <si>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</si>
  <si>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</si>
  <si>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</si>
  <si>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</si>
  <si>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</si>
  <si>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</si>
  <si>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</si>
  <si>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</si>
  <si>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</si>
  <si>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</si>
  <si>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</si>
  <si>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</si>
  <si>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</si>
  <si>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</si>
  <si>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</si>
  <si>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</si>
  <si>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</si>
  <si>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</si>
  <si>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</si>
  <si>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</si>
  <si>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</si>
  <si>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</si>
  <si>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</si>
  <si>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</si>
  <si>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</si>
  <si>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</si>
  <si>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</si>
  <si>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</si>
  <si>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</si>
  <si>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</si>
  <si>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</si>
  <si>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</si>
  <si>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</si>
  <si>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</si>
  <si>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</si>
  <si>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</si>
  <si>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</si>
  <si>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</si>
  <si>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</si>
  <si>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</si>
  <si>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</si>
  <si>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</si>
  <si>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</si>
  <si>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</si>
  <si>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</si>
  <si>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</si>
  <si>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</si>
  <si>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</si>
  <si>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</si>
  <si>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</si>
  <si>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</si>
  <si>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</si>
  <si>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</si>
  <si>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</si>
  <si>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</si>
  <si>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</si>
  <si>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</si>
  <si>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</si>
  <si>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</si>
  <si>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</si>
  <si>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</si>
  <si>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</si>
  <si>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</si>
  <si>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</si>
  <si>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</si>
  <si>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</si>
  <si>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</si>
  <si>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</si>
  <si>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</si>
  <si>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</si>
  <si>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</si>
  <si>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</si>
  <si>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</si>
  <si>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</si>
  <si>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</si>
  <si>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</si>
  <si>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</si>
  <si>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</si>
  <si>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</si>
  <si>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</si>
  <si>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</si>
  <si>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</si>
  <si>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</si>
  <si>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</si>
  <si>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</si>
  <si>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</si>
  <si>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</si>
  <si>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</si>
  <si>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</si>
  <si>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</si>
  <si>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</si>
  <si>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</si>
  <si>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</si>
  <si>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</si>
  <si>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</si>
  <si>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</si>
  <si>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</si>
  <si>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</si>
  <si>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</si>
  <si>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</si>
  <si>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</si>
  <si>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</si>
  <si>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</si>
  <si>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</si>
  <si>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</si>
  <si>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</si>
  <si>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</si>
  <si>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</si>
  <si>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</si>
  <si>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</si>
  <si>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</si>
  <si>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</si>
  <si>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</si>
  <si>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</si>
  <si>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</si>
  <si>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</si>
  <si>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</si>
  <si>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</si>
  <si>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</si>
  <si>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</si>
  <si>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</si>
  <si>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</si>
  <si>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</si>
  <si>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</si>
  <si>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</si>
  <si>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</si>
  <si>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</si>
  <si>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</si>
  <si>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</si>
  <si>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</si>
  <si>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</si>
  <si>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</si>
  <si>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</si>
  <si>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</si>
  <si>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</si>
  <si>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</si>
  <si>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</si>
  <si>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</si>
  <si>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</si>
  <si>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</si>
  <si>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</si>
  <si>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</si>
  <si>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</si>
  <si>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</si>
  <si>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</si>
  <si>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</si>
  <si>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</si>
  <si>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</si>
  <si>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</si>
  <si>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</si>
  <si>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</si>
  <si>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</si>
  <si>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</si>
  <si>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</si>
  <si>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</si>
  <si>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</si>
  <si>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</si>
  <si>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</si>
  <si>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</si>
  <si>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</si>
  <si>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</si>
  <si>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</si>
  <si>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</si>
  <si>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</si>
  <si>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</si>
  <si>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</si>
  <si>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</si>
  <si>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</si>
  <si>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</si>
  <si>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</si>
  <si>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</si>
  <si>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</si>
  <si>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</si>
  <si>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</si>
  <si>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</si>
  <si>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</si>
  <si>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</si>
  <si>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</si>
  <si>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</si>
  <si>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</si>
  <si>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</si>
  <si>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</si>
  <si>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</si>
  <si>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</si>
  <si>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</si>
  <si>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</si>
  <si>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</si>
  <si>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</si>
  <si>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</si>
  <si>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</si>
  <si>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</si>
  <si>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</si>
  <si>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</si>
  <si>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</si>
  <si>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</si>
  <si>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</si>
  <si>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</si>
  <si>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</si>
  <si>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</si>
  <si>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</si>
  <si>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</si>
  <si>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</si>
  <si>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</si>
  <si>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</si>
  <si>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</si>
  <si>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</si>
  <si>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</si>
  <si>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</si>
  <si>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</si>
  <si>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</si>
  <si>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</si>
  <si>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</si>
  <si>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</si>
  <si>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</si>
  <si>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</si>
  <si>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</si>
  <si>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</si>
  <si>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</si>
  <si>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</si>
  <si>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</si>
  <si>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</si>
  <si>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</si>
  <si>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</si>
  <si>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</si>
  <si>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</si>
  <si>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</si>
  <si>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</si>
  <si>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</si>
  <si>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</si>
  <si>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</si>
  <si>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</si>
  <si>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</si>
  <si>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</si>
  <si>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</si>
  <si>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</si>
  <si>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</si>
  <si>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</si>
  <si>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</si>
  <si>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</si>
  <si>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</si>
  <si>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</si>
  <si>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</si>
  <si>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</si>
  <si>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</si>
  <si>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</si>
  <si>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</si>
  <si>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</si>
  <si>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</si>
  <si>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</si>
  <si>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</si>
  <si>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</si>
  <si>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</si>
  <si>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</si>
  <si>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</si>
  <si>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</si>
  <si>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</si>
  <si>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</si>
  <si>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</si>
  <si>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</si>
  <si>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</si>
  <si>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</si>
  <si>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</si>
  <si>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</si>
  <si>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</si>
  <si>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</si>
  <si>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</si>
  <si>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</si>
  <si>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</si>
  <si>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</si>
  <si>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</si>
  <si>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</si>
  <si>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</si>
  <si>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</si>
  <si>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</si>
  <si>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</si>
  <si>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</si>
  <si>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</si>
  <si>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</si>
  <si>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</si>
  <si>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</si>
  <si>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</si>
  <si>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</si>
  <si>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</si>
  <si>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</si>
  <si>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</si>
  <si>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</si>
  <si>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</si>
  <si>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</si>
  <si>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</si>
  <si>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</si>
  <si>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</si>
  <si>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</si>
  <si>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</si>
  <si>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</si>
  <si>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</si>
  <si>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</si>
  <si>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</si>
  <si>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</si>
  <si>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</si>
  <si>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</si>
  <si>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</si>
  <si>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</si>
  <si>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</si>
  <si>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</si>
  <si>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</si>
  <si>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</si>
  <si>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</si>
  <si>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</si>
  <si>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</si>
  <si>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</si>
  <si>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</si>
  <si>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</si>
  <si>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</si>
  <si>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</si>
  <si>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</si>
  <si>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</si>
  <si>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</si>
  <si>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</si>
  <si>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</si>
  <si>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</si>
  <si>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</si>
  <si>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</si>
  <si>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</si>
  <si>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</si>
  <si>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</si>
  <si>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</si>
  <si>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</si>
  <si>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</si>
  <si>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</si>
  <si>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</si>
  <si>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</si>
  <si>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</si>
  <si>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</si>
  <si>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</si>
  <si>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</si>
  <si>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</si>
  <si>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</si>
  <si>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</si>
  <si>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</si>
  <si>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</si>
  <si>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</si>
  <si>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</si>
  <si>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</si>
  <si>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</si>
  <si>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</si>
  <si>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</si>
  <si>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</si>
  <si>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</si>
  <si>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</si>
  <si>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</si>
  <si>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</si>
  <si>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</si>
  <si>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</si>
  <si>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</si>
  <si>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</si>
  <si>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</si>
  <si>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</si>
  <si>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</si>
  <si>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</si>
  <si>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</si>
  <si>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</si>
  <si>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</si>
  <si>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</si>
  <si>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</si>
  <si>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</si>
  <si>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</si>
  <si>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</si>
  <si>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</si>
  <si>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</si>
  <si>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</si>
  <si>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</si>
  <si>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</si>
  <si>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</si>
  <si>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</si>
  <si>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</si>
  <si>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</si>
  <si>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</si>
  <si>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</si>
  <si>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</si>
  <si>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</si>
  <si>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</si>
  <si>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</si>
  <si>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</si>
  <si>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</si>
  <si>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</si>
  <si>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</si>
  <si>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</si>
  <si>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</si>
  <si>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</si>
  <si>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</si>
  <si>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</si>
  <si>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</si>
  <si>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</si>
  <si>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</si>
  <si>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</si>
  <si>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</si>
  <si>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</si>
  <si>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</si>
  <si>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</si>
  <si>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</si>
  <si>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</si>
  <si>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</si>
  <si>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</si>
  <si>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</si>
  <si>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</si>
  <si>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</si>
  <si>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</si>
  <si>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</si>
  <si>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</si>
  <si>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</si>
  <si>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</si>
  <si>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</si>
  <si>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</si>
  <si>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</si>
  <si>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</si>
  <si>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</si>
  <si>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</si>
  <si>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</si>
  <si>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</si>
  <si>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</si>
  <si>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</si>
  <si>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</si>
  <si>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</si>
  <si>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</si>
  <si>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</si>
  <si>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</si>
  <si>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</si>
  <si>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</si>
  <si>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</si>
  <si>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</si>
  <si>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</si>
  <si>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</si>
  <si>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</si>
  <si>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</si>
  <si>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</si>
  <si>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</si>
  <si>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</si>
  <si>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</si>
  <si>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</si>
  <si>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</si>
  <si>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</si>
  <si>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</si>
  <si>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</si>
  <si>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</si>
  <si>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</si>
  <si>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</si>
  <si>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</si>
  <si>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</si>
  <si>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</si>
  <si>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</si>
  <si>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</si>
  <si>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</si>
  <si>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</si>
  <si>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</si>
  <si>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</si>
  <si>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</si>
  <si>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</si>
  <si>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</si>
  <si>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</si>
  <si>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</si>
  <si>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</si>
  <si>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</si>
  <si>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</si>
  <si>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</si>
  <si>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</si>
  <si>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</si>
  <si>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</si>
  <si>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</si>
  <si>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</si>
  <si>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</si>
  <si>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</si>
  <si>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</si>
  <si>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</si>
  <si>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</si>
  <si>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</si>
  <si>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</si>
  <si>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</si>
  <si>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</si>
  <si>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</si>
  <si>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</si>
  <si>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</si>
  <si>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</si>
  <si>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</si>
  <si>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</si>
  <si>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</si>
  <si>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</si>
  <si>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</si>
  <si>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</si>
  <si>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</si>
  <si>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</si>
  <si>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</si>
  <si>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</si>
  <si>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</si>
  <si>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</si>
  <si>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</si>
  <si>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</si>
  <si>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</si>
  <si>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</si>
  <si>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</si>
  <si>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</si>
  <si>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</si>
  <si>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</si>
  <si>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</si>
  <si>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</si>
  <si>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</si>
  <si>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</si>
  <si>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</si>
  <si>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</si>
  <si>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</si>
  <si>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</si>
  <si>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</si>
  <si>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</si>
  <si>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</si>
  <si>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</si>
  <si>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</si>
  <si>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</si>
  <si>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</si>
  <si>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</si>
  <si>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</si>
  <si>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</si>
  <si>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</si>
  <si>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</si>
  <si>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</si>
  <si>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</si>
  <si>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</si>
  <si>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</si>
  <si>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</si>
  <si>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</si>
  <si>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</si>
  <si>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</si>
  <si>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</si>
  <si>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</si>
  <si>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</si>
  <si>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</si>
  <si>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</si>
  <si>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</si>
  <si>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</si>
  <si>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</si>
  <si>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</si>
  <si>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</si>
  <si>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</si>
  <si>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</si>
  <si>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</si>
  <si>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Podane ceny nie zawierają podatku VAT i obowiązują od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</si>
  <si>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</si>
  <si>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</si>
  <si>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</si>
  <si>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</si>
  <si>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</si>
  <si>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</si>
  <si>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</si>
  <si>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</si>
  <si>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</si>
  <si>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</si>
  <si>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</si>
  <si>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</si>
  <si>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</si>
  <si>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</si>
  <si>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</si>
  <si>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</si>
  <si>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</si>
  <si>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</si>
  <si>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</si>
  <si>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</si>
  <si>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</si>
  <si>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</si>
  <si>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</si>
  <si>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</si>
  <si>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</si>
  <si>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</si>
  <si>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</si>
  <si>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</si>
  <si>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</si>
  <si>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</si>
  <si>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</si>
  <si>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</si>
  <si>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</si>
  <si>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</si>
  <si>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</si>
  <si>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</si>
  <si>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</si>
  <si>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</si>
  <si>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</si>
  <si>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</si>
  <si>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</si>
  <si>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</si>
  <si>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</si>
  <si>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</si>
  <si>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</si>
  <si>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</si>
  <si>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</si>
  <si>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</si>
  <si>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</si>
  <si>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</si>
  <si>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</si>
  <si>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</si>
  <si>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</si>
  <si>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</si>
  <si>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</si>
  <si>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</si>
  <si>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</si>
  <si>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</si>
  <si>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</si>
  <si>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</si>
  <si>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</si>
  <si>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</si>
  <si>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</si>
  <si>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</si>
  <si>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</si>
  <si>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</si>
  <si>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</si>
  <si>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</si>
  <si>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</si>
  <si>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</si>
  <si>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</si>
  <si>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</si>
  <si>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</si>
  <si>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</si>
  <si>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</si>
  <si>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</si>
  <si>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</si>
  <si>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</si>
  <si>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</si>
  <si>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</si>
  <si>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</si>
  <si>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</si>
  <si>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</si>
  <si>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</si>
  <si>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</si>
  <si>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</si>
  <si>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</si>
  <si>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</si>
  <si>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</si>
  <si>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</si>
  <si>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</si>
  <si>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</si>
  <si>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</si>
  <si>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</si>
  <si>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</si>
  <si>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</si>
  <si>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</si>
  <si>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</si>
  <si>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</si>
  <si>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</si>
  <si>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</si>
  <si>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</si>
  <si>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</si>
  <si>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</si>
  <si>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</si>
  <si>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</si>
  <si>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</si>
  <si>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</si>
  <si>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</si>
  <si>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</si>
  <si>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</si>
  <si>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</si>
  <si>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</si>
  <si>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</si>
  <si>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</si>
  <si>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</si>
  <si>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</si>
  <si>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</si>
  <si>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</si>
  <si>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</si>
  <si>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</si>
  <si>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</si>
  <si>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</si>
  <si>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</si>
  <si>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</si>
  <si>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</si>
  <si>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</si>
  <si>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</si>
  <si>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</si>
  <si>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</si>
  <si>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</si>
  <si>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</si>
  <si>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</si>
  <si>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</si>
  <si>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</si>
  <si>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</si>
  <si>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</si>
  <si>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</si>
  <si>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</si>
  <si>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</si>
  <si>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</si>
  <si>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</si>
  <si>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</si>
  <si>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</si>
  <si>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</si>
  <si>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</si>
  <si>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</si>
  <si>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</si>
  <si>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</si>
  <si>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</si>
  <si>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</si>
  <si>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</si>
  <si>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</si>
  <si>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</si>
  <si>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</si>
  <si>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</si>
  <si>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</si>
  <si>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</si>
  <si>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</si>
  <si>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</si>
  <si>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</si>
  <si>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</si>
  <si>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</si>
  <si>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</si>
  <si>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</si>
  <si>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</si>
  <si>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</si>
  <si>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</si>
  <si>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</si>
  <si>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</si>
  <si>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</si>
  <si>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</si>
  <si>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</si>
  <si>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</si>
  <si>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</si>
  <si>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</si>
  <si>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</si>
  <si>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</si>
  <si>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</si>
  <si>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</si>
  <si>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</si>
  <si>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</si>
  <si>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</si>
  <si>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</si>
  <si>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</si>
  <si>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</si>
  <si>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</si>
  <si>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</si>
  <si>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</si>
  <si>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</si>
  <si>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</si>
  <si>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</si>
  <si>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</si>
  <si>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</si>
  <si>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</si>
  <si>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</si>
  <si>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</si>
  <si>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</si>
  <si>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</si>
  <si>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</si>
  <si>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</si>
  <si>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</si>
  <si>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</si>
  <si>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</si>
  <si>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</si>
  <si>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</si>
  <si>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</si>
  <si>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</si>
  <si>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</si>
  <si>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</si>
  <si>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</si>
  <si>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</si>
  <si>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</si>
  <si>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</si>
  <si>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</si>
  <si>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</si>
  <si>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</si>
  <si>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</si>
  <si>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</si>
  <si>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</si>
  <si>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</si>
  <si>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</si>
  <si>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</si>
  <si>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</si>
  <si>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</si>
  <si>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</si>
  <si>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</si>
  <si>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</si>
  <si>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</si>
  <si>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</si>
  <si>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</si>
  <si>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</si>
  <si>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</si>
  <si>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</si>
  <si>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</si>
  <si>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</si>
  <si>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</si>
  <si>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</si>
  <si>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</si>
  <si>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</si>
  <si>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</si>
  <si>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</si>
  <si>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</si>
  <si>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</si>
  <si>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</si>
  <si>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</si>
  <si>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</si>
  <si>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</si>
  <si>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</si>
  <si>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</si>
  <si>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</si>
  <si>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</si>
  <si>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</si>
  <si>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</si>
  <si>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</si>
  <si>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</si>
  <si>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</si>
  <si>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</si>
  <si>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</si>
  <si>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</si>
  <si>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</si>
  <si>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</si>
  <si>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</si>
  <si>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</si>
  <si>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</si>
  <si>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</si>
  <si>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</si>
  <si>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</si>
  <si>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</si>
  <si>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</si>
  <si>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</si>
  <si>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</si>
  <si>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</si>
  <si>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</si>
  <si>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</si>
  <si>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</si>
  <si>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</si>
  <si>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</si>
  <si>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</si>
  <si>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</si>
  <si>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</si>
  <si>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</si>
  <si>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</si>
  <si>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</si>
  <si>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</si>
  <si>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</si>
  <si>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</si>
  <si>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</si>
  <si>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</si>
  <si>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</si>
  <si>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</si>
  <si>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</si>
  <si>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</si>
  <si>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</si>
  <si>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</si>
  <si>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</si>
  <si>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</si>
  <si>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</si>
  <si>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</si>
  <si>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</si>
  <si>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</si>
  <si>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</si>
  <si>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</si>
  <si>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</si>
  <si>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</si>
  <si>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</si>
  <si>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</si>
  <si>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</si>
  <si>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</si>
  <si>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</si>
  <si>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</si>
  <si>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</si>
  <si>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</si>
  <si>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</si>
  <si>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</si>
  <si>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</si>
  <si>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</si>
  <si>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</si>
  <si>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</si>
  <si>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</si>
  <si>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</si>
  <si>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</si>
  <si>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</si>
  <si>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</si>
  <si>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</si>
  <si>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</si>
  <si>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</si>
  <si>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</si>
  <si>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</si>
  <si>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</si>
  <si>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</si>
  <si>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</si>
  <si>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</si>
  <si>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</si>
  <si>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</si>
  <si>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</si>
  <si>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</si>
  <si>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</si>
  <si>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</si>
  <si>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</si>
  <si>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</si>
  <si>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</si>
  <si>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</si>
  <si>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</si>
  <si>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</si>
  <si>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</si>
  <si>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</si>
  <si>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</si>
  <si>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</si>
  <si>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</si>
  <si>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</si>
  <si>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</si>
  <si>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</si>
  <si>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</si>
  <si>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</si>
  <si>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</si>
  <si>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</si>
  <si>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</si>
  <si>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</si>
  <si>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</si>
  <si>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</si>
  <si>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</si>
  <si>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</si>
  <si>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</si>
  <si>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</si>
  <si>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</si>
  <si>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</si>
  <si>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</si>
  <si>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</si>
  <si>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</si>
  <si>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</si>
  <si>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</si>
  <si>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</si>
  <si>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</si>
  <si>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</si>
  <si>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</si>
  <si>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</si>
  <si>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</si>
  <si>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</si>
  <si>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</si>
  <si>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</si>
  <si>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</si>
  <si>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</si>
  <si>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</si>
  <si>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</si>
  <si>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</si>
  <si>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</si>
  <si>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</si>
  <si>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</si>
  <si>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</si>
  <si>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</si>
  <si>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</si>
  <si>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</si>
  <si>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</si>
  <si>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</si>
  <si>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</si>
  <si>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</si>
  <si>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</si>
  <si>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</si>
  <si>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</si>
  <si>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</si>
  <si>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</si>
  <si>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</si>
  <si>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</si>
  <si>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</si>
  <si>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</si>
  <si>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</si>
  <si>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</si>
  <si>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</si>
  <si>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</si>
  <si>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</si>
  <si>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</si>
  <si>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</si>
  <si>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</si>
  <si>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</si>
  <si>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</si>
  <si>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</si>
  <si>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</si>
  <si>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</si>
  <si>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</si>
  <si>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</si>
  <si>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</si>
  <si>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</si>
  <si>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</si>
  <si>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</si>
  <si>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</si>
  <si>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</si>
  <si>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</si>
  <si>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</si>
  <si>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</si>
  <si>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</si>
  <si>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</si>
  <si>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</si>
  <si>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</si>
  <si>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</si>
  <si>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</si>
  <si>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</si>
  <si>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</si>
  <si>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</si>
  <si>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</si>
  <si>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</si>
  <si>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</si>
  <si>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</si>
  <si>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</si>
  <si>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</si>
  <si>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</si>
  <si>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</si>
  <si>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</si>
  <si>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</si>
  <si>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</si>
  <si>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</si>
  <si>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</si>
  <si>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</si>
  <si>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</si>
  <si>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</si>
  <si>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</si>
  <si>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</si>
  <si>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</si>
  <si>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</si>
  <si>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</si>
  <si>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</si>
  <si>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</si>
  <si>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</si>
  <si>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</si>
  <si>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</si>
  <si>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</si>
  <si>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</si>
  <si>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</si>
  <si>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</si>
  <si>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</si>
  <si>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</si>
  <si>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</si>
  <si>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</si>
  <si>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</si>
  <si>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</si>
  <si>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</si>
  <si>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</si>
  <si>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</si>
  <si>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</si>
  <si>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</si>
  <si>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</si>
  <si>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</si>
  <si>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</si>
  <si>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</si>
  <si>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</si>
  <si>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</si>
  <si>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</si>
  <si>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</si>
  <si>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</si>
  <si>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</si>
  <si>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</si>
  <si>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</si>
  <si>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</si>
  <si>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</si>
  <si>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</si>
  <si>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</si>
  <si>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</si>
  <si>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</si>
  <si>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</si>
  <si>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</si>
  <si>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</si>
  <si>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</si>
  <si>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</si>
  <si>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</si>
  <si>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</si>
  <si>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</si>
  <si>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</si>
  <si>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</si>
  <si>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</si>
  <si>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</si>
  <si>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</si>
  <si>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</si>
  <si>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</si>
  <si>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</si>
  <si>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</si>
  <si>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</si>
  <si>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</si>
  <si>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</si>
  <si>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</si>
  <si>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</si>
  <si>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</si>
  <si>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</si>
  <si>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</si>
  <si>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</si>
  <si>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</si>
  <si>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</si>
  <si>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</si>
  <si>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</si>
  <si>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</si>
  <si>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</si>
  <si>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</si>
  <si>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</si>
  <si>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</si>
  <si>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</si>
  <si>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</si>
  <si>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</si>
  <si>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</si>
  <si>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</si>
  <si>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</si>
  <si>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</si>
  <si>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</si>
  <si>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</si>
  <si>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</si>
  <si>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</si>
  <si>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</si>
  <si>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</si>
  <si>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</si>
  <si>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</si>
  <si>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</si>
  <si>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</si>
  <si>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</si>
  <si>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</si>
  <si>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</si>
  <si>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</si>
  <si>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</si>
  <si>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</si>
  <si>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</si>
  <si>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</si>
  <si>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</si>
  <si>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</si>
  <si>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</si>
  <si>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</si>
  <si>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</si>
  <si>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</si>
  <si>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</si>
  <si>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</si>
  <si>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</si>
  <si>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</si>
  <si>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</si>
  <si>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</si>
  <si>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</si>
  <si>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</si>
  <si>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</si>
  <si>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</si>
  <si>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</si>
  <si>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</si>
  <si>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</si>
  <si>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</si>
  <si>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</si>
  <si>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</si>
  <si>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</si>
  <si>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</si>
  <si>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</si>
  <si>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</si>
  <si>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</si>
  <si>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</si>
  <si>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</si>
  <si>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</si>
  <si>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</si>
  <si>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</si>
  <si>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</si>
  <si>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</si>
  <si>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</si>
  <si>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</si>
  <si>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</si>
  <si>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</si>
  <si>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</si>
  <si>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</si>
  <si>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</si>
  <si>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</si>
  <si>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</si>
  <si>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</si>
  <si>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</si>
  <si>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</si>
  <si>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</si>
  <si>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</si>
  <si>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</si>
  <si>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</si>
  <si>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</si>
  <si>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</si>
  <si>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</si>
  <si>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</si>
  <si>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</si>
  <si>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</si>
  <si>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</si>
  <si>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</si>
  <si>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</si>
  <si>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</si>
  <si>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</si>
  <si>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</si>
  <si>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</si>
  <si>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</si>
  <si>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</si>
  <si>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</si>
  <si>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</si>
  <si>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</si>
  <si>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</si>
  <si>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</si>
  <si>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</si>
  <si>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</si>
  <si>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</si>
  <si>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</si>
  <si>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</si>
  <si>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</si>
  <si>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</si>
  <si>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</si>
  <si>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</si>
  <si>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</si>
  <si>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</si>
  <si>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</si>
  <si>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</si>
  <si>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</si>
  <si>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</si>
  <si>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</si>
  <si>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</si>
  <si>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</si>
  <si>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</si>
  <si>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</si>
  <si>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</si>
  <si>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</si>
  <si>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</si>
  <si>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</si>
  <si>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</si>
  <si>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</si>
  <si>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</si>
  <si>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</si>
  <si>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</si>
  <si>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</si>
  <si>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</si>
  <si>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</si>
  <si>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</si>
  <si>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</si>
  <si>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</si>
  <si>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</si>
  <si>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</si>
  <si>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</si>
  <si>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</si>
  <si>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</si>
  <si>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</si>
  <si>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</si>
  <si>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</si>
  <si>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</si>
  <si>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</si>
  <si>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</si>
  <si>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</si>
  <si>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</si>
  <si>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</si>
  <si>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</si>
  <si>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</si>
  <si>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</si>
  <si>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</si>
  <si>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</si>
  <si>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</si>
  <si>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</si>
  <si>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</si>
  <si>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</si>
  <si>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</si>
  <si>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</si>
  <si>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</si>
  <si>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</si>
  <si>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</si>
  <si>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</si>
  <si>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</si>
  <si>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</si>
  <si>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</si>
  <si>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</si>
  <si>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</si>
  <si>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</si>
  <si>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</si>
  <si>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</si>
  <si>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</si>
  <si>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</si>
  <si>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</si>
  <si>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</si>
  <si>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</si>
  <si>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</si>
  <si>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</si>
  <si>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</si>
  <si>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</si>
  <si>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</si>
  <si>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</si>
  <si>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</si>
  <si>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</si>
  <si>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</si>
  <si>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</si>
  <si>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</si>
  <si>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</si>
  <si>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</si>
  <si>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</si>
  <si>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</si>
  <si>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</si>
  <si>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</si>
  <si>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</si>
  <si>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</si>
  <si>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</si>
  <si>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</si>
  <si>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</si>
  <si>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</si>
  <si>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</si>
  <si>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</si>
  <si>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</si>
  <si>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</si>
  <si>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</si>
  <si>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</si>
  <si>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</si>
  <si>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</si>
  <si>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</si>
  <si>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</si>
  <si>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</si>
  <si>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</si>
  <si>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</si>
  <si>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</si>
  <si>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</si>
  <si>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</si>
  <si>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</si>
  <si>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</si>
  <si>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</si>
  <si>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</si>
  <si>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</si>
  <si>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</si>
  <si>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</si>
  <si>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</si>
  <si>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</si>
  <si>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</si>
  <si>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</si>
  <si>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</si>
  <si>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</si>
  <si>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</si>
  <si>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</si>
  <si>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</si>
  <si>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</si>
  <si>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</si>
  <si>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</si>
  <si>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</si>
  <si>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</si>
  <si>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</si>
  <si>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</si>
  <si>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</si>
  <si>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</si>
  <si>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</si>
  <si>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</si>
  <si>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</si>
  <si>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</si>
  <si>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</si>
  <si>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</si>
  <si>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</si>
  <si>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</si>
  <si>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</si>
  <si>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</si>
  <si>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</si>
  <si>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</si>
  <si>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</si>
  <si>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</si>
  <si>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</si>
  <si>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</si>
  <si>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</si>
  <si>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</si>
  <si>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</si>
  <si>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</si>
  <si>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</si>
  <si>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</si>
  <si>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</si>
  <si>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</si>
  <si>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</si>
  <si>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</si>
  <si>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</si>
  <si>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</si>
  <si>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</si>
  <si>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</si>
  <si>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</si>
  <si>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</si>
  <si>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</si>
  <si>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</si>
  <si>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</si>
  <si>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</si>
  <si>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</si>
  <si>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</si>
  <si>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</si>
  <si>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</si>
  <si>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</si>
  <si>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</si>
  <si>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</si>
  <si>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</si>
  <si>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</si>
  <si>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</si>
  <si>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</si>
  <si>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</si>
  <si>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</si>
  <si>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</si>
  <si>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</si>
  <si>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</si>
  <si>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</si>
  <si>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</si>
  <si>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</si>
  <si>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</si>
  <si>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</si>
  <si>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</si>
  <si>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</si>
  <si>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</si>
  <si>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</si>
  <si>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</si>
  <si>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</si>
  <si>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</si>
  <si>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</si>
  <si>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</si>
  <si>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</si>
  <si>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</si>
  <si>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</si>
  <si>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</si>
  <si>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</si>
  <si>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</si>
  <si>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</si>
  <si>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</si>
  <si>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</si>
  <si>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</si>
  <si>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</si>
  <si>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</si>
  <si>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</si>
  <si>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</si>
  <si>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</si>
  <si>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</si>
  <si>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</si>
  <si>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</si>
  <si>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</si>
  <si>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</si>
  <si>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</si>
  <si>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</si>
  <si>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</si>
  <si>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</si>
  <si>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</si>
  <si>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</si>
  <si>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</si>
  <si>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</si>
  <si>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</si>
  <si>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</si>
  <si>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</si>
  <si>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</si>
  <si>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</si>
  <si>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</si>
  <si>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</si>
  <si>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</si>
  <si>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</si>
  <si>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</si>
  <si>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</si>
  <si>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</si>
  <si>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</si>
  <si>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</si>
  <si>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</si>
  <si>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</si>
  <si>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</si>
  <si>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</si>
  <si>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</si>
  <si>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</si>
  <si>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</si>
  <si>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</si>
  <si>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</si>
  <si>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</si>
  <si>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</si>
  <si>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</si>
  <si>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</si>
  <si>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</si>
  <si>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</si>
  <si>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</si>
  <si>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</si>
  <si>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</si>
  <si>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</si>
  <si>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</si>
  <si>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</si>
  <si>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</si>
  <si>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</si>
  <si>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</si>
  <si>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</si>
  <si>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</si>
  <si>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</si>
  <si>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</si>
  <si>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</si>
  <si>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</si>
  <si>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</si>
  <si>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</si>
  <si>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</si>
  <si>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</si>
  <si>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</si>
  <si>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</si>
  <si>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</si>
  <si>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</si>
  <si>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</si>
  <si>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</si>
  <si>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</si>
  <si>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</si>
  <si>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</si>
  <si>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</si>
  <si>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</si>
  <si>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</si>
  <si>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</si>
  <si>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</si>
  <si>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</si>
  <si>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</si>
  <si>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</si>
  <si>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</si>
  <si>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</si>
  <si>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</si>
  <si>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</si>
  <si>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</si>
  <si>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</si>
  <si>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</si>
  <si>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</si>
  <si>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</si>
  <si>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</si>
  <si>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</si>
  <si>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</si>
  <si>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</si>
  <si>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</si>
  <si>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</si>
  <si>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</si>
  <si>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</si>
  <si>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</si>
  <si>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</si>
  <si>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</si>
  <si>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</si>
  <si>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</si>
  <si>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</si>
  <si>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</si>
  <si>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</si>
  <si>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</si>
  <si>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</si>
  <si>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</si>
  <si>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</si>
  <si>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</si>
  <si>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</si>
  <si>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</si>
  <si>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</si>
  <si>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</si>
  <si>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</si>
  <si>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</si>
  <si>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</si>
  <si>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</si>
  <si>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</si>
  <si>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</si>
  <si>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</si>
  <si>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</si>
  <si>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</si>
  <si>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</si>
  <si>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</si>
  <si>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</si>
  <si>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</si>
  <si>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</si>
  <si>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</si>
  <si>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</si>
  <si>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</si>
  <si>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</si>
  <si>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</si>
  <si>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</si>
  <si>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</si>
  <si>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</si>
  <si>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</si>
  <si>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</si>
  <si>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</si>
  <si>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</si>
  <si>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</si>
  <si>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</si>
  <si>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</si>
  <si>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</si>
  <si>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</si>
  <si>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</si>
  <si>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</si>
  <si>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</si>
  <si>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</si>
  <si>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</si>
  <si>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</si>
  <si>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</si>
  <si>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</si>
  <si>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</si>
  <si>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</si>
  <si>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</si>
  <si>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</si>
  <si>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</si>
  <si>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</si>
  <si>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</si>
  <si>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</si>
  <si>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</si>
  <si>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</si>
  <si>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</si>
  <si>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</si>
  <si>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</si>
  <si>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</si>
  <si>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</si>
  <si>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</si>
  <si>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</si>
  <si>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</si>
  <si>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</si>
  <si>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</si>
  <si>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</si>
  <si>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</si>
  <si>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</si>
  <si>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</si>
  <si>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</si>
  <si>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</si>
  <si>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</si>
  <si>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</si>
  <si>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</si>
  <si>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</si>
  <si>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</si>
  <si>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</si>
  <si>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</si>
  <si>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</si>
  <si>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</si>
  <si>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</si>
  <si>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</si>
  <si>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</si>
  <si>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</si>
  <si>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</si>
  <si>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</si>
  <si>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</si>
  <si>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</si>
  <si>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</si>
  <si>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</si>
  <si>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</si>
  <si>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</si>
  <si>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</si>
  <si>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</si>
  <si>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</si>
  <si>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</si>
  <si>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</si>
  <si>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</si>
  <si>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</si>
  <si>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</si>
  <si>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</si>
  <si>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</si>
  <si>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</si>
  <si>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</si>
  <si>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</si>
  <si>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</si>
  <si>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</si>
  <si>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</si>
  <si>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25.01</t>
  </si>
  <si>
    <t>06.01.2025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</si>
</sst>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7" formatCode="#,##0.0"/>
    <numFmt numFmtId="168" formatCode="0.0"/>
    <numFmt numFmtId="169" formatCode="_-* #,##0.00\ [$zł-415]_-;\-* #,##0.00\ [$zł-415]_-;_-* &quot;-&quot;??\ [$zł-415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2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8" fontId="38" fillId="0" borderId="46" xfId="0" applyNumberFormat="1" applyFont="1" applyBorder="1" applyAlignment="1" applyProtection="1">
      <alignment horizontal="center"/>
      <protection hidden="1"/>
    </xf>
    <xf numFmtId="168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8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8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75" fillId="0" borderId="35" xfId="4" applyFont="1" applyBorder="1"/>
    <xf numFmtId="0" fontId="0" fillId="0" borderId="0" xfId="0"/>
    <xf numFmtId="165" fontId="0" fillId="0" borderId="0" xfId="0" applyNumberFormat="1" applyAlignment="1">
      <alignment horizont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2" fontId="0" fillId="0" borderId="27" xfId="0" applyNumberFormat="1" applyBorder="1"/>
    <xf numFmtId="0" fontId="0" fillId="0" borderId="21" xfId="0" applyBorder="1"/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2" fontId="0" fillId="0" borderId="21" xfId="0" applyNumberFormat="1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/>
    <xf numFmtId="0" fontId="0" fillId="0" borderId="41" xfId="0" applyBorder="1"/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0" fillId="0" borderId="28" xfId="0" applyBorder="1"/>
    <xf numFmtId="0" fontId="0" fillId="0" borderId="40" xfId="0" applyBorder="1"/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0" fontId="38" fillId="0" borderId="46" xfId="0" applyFont="1" applyBorder="1" applyAlignment="1" applyProtection="1">
      <alignment horizontal="left"/>
      <protection hidden="1"/>
    </xf>
    <xf numFmtId="168" fontId="38" fillId="0" borderId="46" xfId="0" applyNumberFormat="1" applyFont="1" applyBorder="1" applyProtection="1">
      <protection hidden="1"/>
    </xf>
    <xf numFmtId="0" fontId="38" fillId="0" borderId="46" xfId="0" applyFont="1" applyBorder="1" applyProtection="1"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7" fontId="38" fillId="0" borderId="57" xfId="1" applyNumberFormat="1" applyFont="1" applyFill="1" applyBorder="1" applyAlignment="1" applyProtection="1">
      <protection hidden="1"/>
    </xf>
    <xf numFmtId="167" fontId="38" fillId="0" borderId="57" xfId="1" applyNumberFormat="1" applyFont="1" applyBorder="1" applyAlignment="1" applyProtection="1">
      <protection hidden="1"/>
    </xf>
    <xf numFmtId="0" fontId="38" fillId="0" borderId="55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0" fontId="38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169" fontId="52" fillId="16" borderId="43" xfId="13" applyNumberFormat="1" applyFont="1" applyFill="1" applyBorder="1" applyAlignment="1" applyProtection="1">
      <alignment horizontal="right" vertical="center"/>
      <protection hidden="1"/>
    </xf>
    <xf numFmtId="169" fontId="52" fillId="16" borderId="51" xfId="13" applyNumberFormat="1" applyFont="1" applyFill="1" applyBorder="1" applyAlignment="1" applyProtection="1">
      <alignment horizontal="right" vertical="center"/>
      <protection hidden="1"/>
    </xf>
    <xf numFmtId="169" fontId="52" fillId="16" borderId="52" xfId="13" applyNumberFormat="1" applyFont="1" applyFill="1" applyBorder="1" applyAlignment="1" applyProtection="1">
      <alignment horizontal="right" vertical="center"/>
      <protection hidden="1"/>
    </xf>
    <xf numFmtId="168" fontId="38" fillId="0" borderId="57" xfId="0" applyNumberFormat="1" applyFont="1" applyBorder="1" applyProtection="1"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8" fontId="38" fillId="0" borderId="55" xfId="0" applyNumberFormat="1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168" fontId="38" fillId="0" borderId="46" xfId="0" applyNumberFormat="1" applyFont="1" applyBorder="1" applyAlignment="1" applyProtection="1">
      <alignment horizontal="right"/>
      <protection hidden="1"/>
    </xf>
    <xf numFmtId="0" fontId="38" fillId="0" borderId="0" xfId="0" applyFont="1" applyAlignment="1">
      <alignment horizontal="left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0" fillId="0" borderId="0" xfId="0" applyAlignment="1">
      <alignment horizontal="center" vertical="center"/>
    </xf>
    <xf numFmtId="0" fontId="38" fillId="0" borderId="0" xfId="0" applyFont="1" applyAlignment="1" applyProtection="1">
      <alignment horizontal="center" vertical="top" wrapText="1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0" fillId="3" borderId="0" xfId="0" applyFill="1" applyAlignment="1">
      <alignment horizontal="center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3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28575</xdr:rowOff>
        </xdr:from>
        <xdr:to>
          <xdr:col>3</xdr:col>
          <xdr:colOff>9525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57150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295275</xdr:colOff>
      <xdr:row>2</xdr:row>
      <xdr:rowOff>407670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14</xdr:col>
          <xdr:colOff>495300</xdr:colOff>
          <xdr:row>16</xdr:row>
          <xdr:rowOff>238125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28575</xdr:rowOff>
        </xdr:from>
        <xdr:to>
          <xdr:col>14</xdr:col>
          <xdr:colOff>495300</xdr:colOff>
          <xdr:row>20</xdr:row>
          <xdr:rowOff>238125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200025</xdr:rowOff>
        </xdr:from>
        <xdr:to>
          <xdr:col>14</xdr:col>
          <xdr:colOff>704850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704850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704850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704850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200025</xdr:rowOff>
        </xdr:from>
        <xdr:to>
          <xdr:col>14</xdr:col>
          <xdr:colOff>704850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200025</xdr:rowOff>
        </xdr:from>
        <xdr:to>
          <xdr:col>14</xdr:col>
          <xdr:colOff>704850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704850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200025</xdr:rowOff>
        </xdr:from>
        <xdr:to>
          <xdr:col>14</xdr:col>
          <xdr:colOff>704850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704850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704850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704850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704850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704850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704850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742950</xdr:colOff>
          <xdr:row>52</xdr:row>
          <xdr:rowOff>0</xdr:rowOff>
        </xdr:from>
        <xdr:to>
          <xdr:col>14</xdr:col>
          <xdr:colOff>704850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704850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243840</xdr:colOff>
      <xdr:row>1</xdr:row>
      <xdr:rowOff>121920</xdr:rowOff>
    </xdr:from>
    <xdr:to>
      <xdr:col>14</xdr:col>
      <xdr:colOff>372035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202680" y="205740"/>
          <a:ext cx="18973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704850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40625" defaultRowHeight="12.75" x14ac:dyDescent="0.2"/>
  <cols>
    <col min="1" max="1" width="19" customWidth="1"/>
    <col min="2" max="11" width="7.42578125" customWidth="1"/>
    <col min="12" max="12" width="1.140625" customWidth="1"/>
  </cols>
  <sheetData>
    <row r="1" spans="1:11" x14ac:dyDescent="0.2">
      <c r="D1" s="395"/>
      <c r="E1" s="395"/>
      <c r="F1" s="395"/>
      <c r="G1" s="395"/>
      <c r="H1" s="395"/>
      <c r="I1" s="395"/>
      <c r="J1" s="395"/>
      <c r="K1" s="395"/>
    </row>
    <row r="2" spans="1:11" ht="12" customHeight="1" x14ac:dyDescent="0.2">
      <c r="D2" s="395"/>
      <c r="E2" s="395"/>
      <c r="F2" s="395"/>
      <c r="G2" s="395"/>
      <c r="H2" s="395"/>
      <c r="I2" s="395"/>
      <c r="J2" s="395"/>
      <c r="K2" s="395"/>
    </row>
    <row r="3" spans="1:11" x14ac:dyDescent="0.2">
      <c r="D3" s="395"/>
      <c r="E3" s="395"/>
      <c r="F3" s="395"/>
      <c r="G3" s="395"/>
      <c r="H3" s="395"/>
      <c r="I3" s="395"/>
      <c r="J3" s="395"/>
      <c r="K3" s="395"/>
    </row>
    <row r="4" spans="1:11" x14ac:dyDescent="0.2">
      <c r="D4" s="395"/>
      <c r="E4" s="395"/>
      <c r="F4" s="395"/>
      <c r="G4" s="395"/>
      <c r="H4" s="395"/>
      <c r="I4" s="395"/>
      <c r="J4" s="395"/>
      <c r="K4" s="395"/>
    </row>
    <row r="5" spans="1:11" x14ac:dyDescent="0.2">
      <c r="D5" s="395"/>
      <c r="E5" s="395"/>
      <c r="F5" s="395"/>
      <c r="G5" s="395"/>
      <c r="H5" s="395"/>
      <c r="I5" s="395"/>
      <c r="J5" s="395"/>
      <c r="K5" s="395"/>
    </row>
    <row r="6" spans="1:11" x14ac:dyDescent="0.2">
      <c r="D6" s="395"/>
      <c r="E6" s="395"/>
      <c r="F6" s="395"/>
      <c r="G6" s="395"/>
      <c r="H6" s="395"/>
      <c r="I6" s="395"/>
      <c r="J6" s="395"/>
      <c r="K6" s="395"/>
    </row>
    <row r="7" spans="1:11" ht="20.100000000000001" customHeight="1" x14ac:dyDescent="0.25">
      <c r="A7" s="1" t="s">
        <v>70</v>
      </c>
      <c r="B7" s="423" t="s">
        <v>435</v>
      </c>
      <c r="C7" s="380"/>
      <c r="D7" s="380"/>
      <c r="H7" s="380"/>
    </row>
    <row r="8" spans="1:11" ht="3" customHeight="1" x14ac:dyDescent="0.25">
      <c r="B8" s="2"/>
      <c r="D8" s="380"/>
      <c r="H8" s="380"/>
    </row>
    <row r="9" spans="1:11" ht="20.100000000000001" customHeight="1" x14ac:dyDescent="0.25">
      <c r="A9" s="1" t="s">
        <v>67</v>
      </c>
      <c r="B9" s="426">
        <f>'Objednávka žaluzií'!N9</f>
        <v>36</v>
      </c>
      <c r="C9" s="427"/>
      <c r="D9" s="380"/>
      <c r="H9" s="380"/>
    </row>
    <row r="10" spans="1:11" ht="3" customHeight="1" x14ac:dyDescent="0.25">
      <c r="A10" s="1"/>
    </row>
    <row r="11" spans="1:11" ht="18" x14ac:dyDescent="0.25">
      <c r="A11" s="1" t="s">
        <v>68</v>
      </c>
      <c r="B11" s="426">
        <f>'Objednávka žaluzií'!N11</f>
        <v>36</v>
      </c>
      <c r="C11" s="427"/>
    </row>
    <row r="12" spans="1:11" ht="3" customHeight="1" x14ac:dyDescent="0.25">
      <c r="A12" s="1"/>
    </row>
    <row r="13" spans="1:11" ht="18" x14ac:dyDescent="0.25">
      <c r="A13" s="1" t="s">
        <v>69</v>
      </c>
      <c r="B13" s="426">
        <f>'Objednávka žaluzií'!T13</f>
        <v>0</v>
      </c>
      <c r="C13" s="427"/>
    </row>
    <row r="14" spans="1:11" ht="3" customHeight="1" x14ac:dyDescent="0.2"/>
    <row r="15" spans="1:11" ht="18" x14ac:dyDescent="0.25">
      <c r="A15" s="1" t="s">
        <v>71</v>
      </c>
      <c r="B15" s="424"/>
      <c r="C15" s="380"/>
    </row>
    <row r="16" spans="1:11" ht="3" customHeight="1" x14ac:dyDescent="0.2"/>
    <row r="17" spans="1:11" ht="20.100000000000001" customHeight="1" x14ac:dyDescent="0.25">
      <c r="A17" s="140" t="str">
        <f>IF(výpočty!$U$14=1,výpočty!R14,výpočty!R15)</f>
        <v>Pionowy (z góry na dół)</v>
      </c>
      <c r="B17" s="127"/>
    </row>
    <row r="18" spans="1:11" x14ac:dyDescent="0.2">
      <c r="H18" s="128"/>
      <c r="I18" s="128"/>
      <c r="J18" s="128"/>
    </row>
    <row r="19" spans="1:11" ht="15.75" x14ac:dyDescent="0.25">
      <c r="A19" s="2" t="s">
        <v>83</v>
      </c>
    </row>
    <row r="20" spans="1:11" ht="6" customHeight="1" thickBot="1" x14ac:dyDescent="0.25"/>
    <row r="21" spans="1:11" ht="12.75" customHeight="1" thickBot="1" x14ac:dyDescent="0.25">
      <c r="A21" s="403" t="s">
        <v>87</v>
      </c>
      <c r="B21" s="404"/>
      <c r="C21" s="405"/>
      <c r="D21" s="387" t="s">
        <v>88</v>
      </c>
      <c r="E21" s="388"/>
      <c r="F21" s="387" t="s">
        <v>89</v>
      </c>
      <c r="G21" s="388"/>
      <c r="H21" s="397" t="s">
        <v>4</v>
      </c>
      <c r="I21" s="398"/>
      <c r="J21" s="396" t="s">
        <v>3</v>
      </c>
      <c r="K21" s="385"/>
    </row>
    <row r="22" spans="1:11" ht="12.75" customHeight="1" thickBot="1" x14ac:dyDescent="0.25">
      <c r="A22" s="406"/>
      <c r="B22" s="407"/>
      <c r="C22" s="408"/>
      <c r="D22" s="389"/>
      <c r="E22" s="390"/>
      <c r="F22" s="389"/>
      <c r="G22" s="390"/>
      <c r="H22" s="399"/>
      <c r="I22" s="400"/>
      <c r="J22" s="396"/>
      <c r="K22" s="385"/>
    </row>
    <row r="23" spans="1:11" ht="13.5" thickBot="1" x14ac:dyDescent="0.25">
      <c r="A23" s="401" t="s">
        <v>7</v>
      </c>
      <c r="B23" s="402"/>
      <c r="C23" s="402"/>
      <c r="D23" s="384">
        <f>IF(výpočty!$U$14=1,Kalkulace!D10,Kalkulace!D56)</f>
        <v>0</v>
      </c>
      <c r="E23" s="394"/>
      <c r="F23" s="384">
        <f>IF(výpočty!$U$14=1,Kalkulace!E10,Kalkulace!E56)</f>
        <v>0</v>
      </c>
      <c r="G23" s="394"/>
      <c r="H23" s="384">
        <f>IF(výpočty!$U$14=1,Kalkulace!F10,Kalkulace!F56)</f>
        <v>0</v>
      </c>
      <c r="I23" s="394"/>
      <c r="J23" s="384">
        <f>IF(výpočty!$U$14=1,Kalkulace!G10,Kalkulace!G56)</f>
        <v>0</v>
      </c>
      <c r="K23" s="385"/>
    </row>
    <row r="24" spans="1:11" ht="13.5" thickBot="1" x14ac:dyDescent="0.25">
      <c r="A24" s="401" t="s">
        <v>8</v>
      </c>
      <c r="B24" s="402"/>
      <c r="C24" s="402"/>
      <c r="D24" s="384">
        <f>IF(výpočty!$U$14=1,Kalkulace!D11,Kalkulace!D57)</f>
        <v>6.1848480000000006</v>
      </c>
      <c r="E24" s="394"/>
      <c r="F24" s="384">
        <f>IF(výpočty!$U$14=1,Kalkulace!E11,Kalkulace!E57)</f>
        <v>6.1848480000000006</v>
      </c>
      <c r="G24" s="394"/>
      <c r="H24" s="384" t="e">
        <f>IF(výpočty!$U$14=1,Kalkulace!F11,Kalkulace!F57)</f>
        <v>#N/A</v>
      </c>
      <c r="I24" s="394"/>
      <c r="J24" s="384">
        <f>IF(výpočty!$U$14=1,Kalkulace!G11,Kalkulace!G57)</f>
        <v>6.1848480000000006</v>
      </c>
      <c r="K24" s="385"/>
    </row>
    <row r="25" spans="1:11" ht="13.5" thickBot="1" x14ac:dyDescent="0.25">
      <c r="A25" s="401" t="s">
        <v>81</v>
      </c>
      <c r="B25" s="402"/>
      <c r="C25" s="402"/>
      <c r="D25" s="384">
        <f>IF(výpočty!$U$14=1,Kalkulace!D12,Kalkulace!D58)</f>
        <v>26.406770999999999</v>
      </c>
      <c r="E25" s="394"/>
      <c r="F25" s="384">
        <f>IF(výpočty!$U$14=1,Kalkulace!E12,Kalkulace!E58)</f>
        <v>26.406770999999999</v>
      </c>
      <c r="G25" s="394"/>
      <c r="H25" s="384" t="e">
        <f>IF(výpočty!$U$14=1,Kalkulace!F12,Kalkulace!F58)</f>
        <v>#N/A</v>
      </c>
      <c r="I25" s="394"/>
      <c r="J25" s="384">
        <f>IF(výpočty!$U$14=1,Kalkulace!G12,Kalkulace!G58)</f>
        <v>26.406770999999999</v>
      </c>
      <c r="K25" s="385"/>
    </row>
    <row r="26" spans="1:11" ht="13.5" thickBot="1" x14ac:dyDescent="0.25">
      <c r="A26" s="412" t="s">
        <v>82</v>
      </c>
      <c r="B26" s="412"/>
      <c r="C26" s="413"/>
      <c r="D26" s="384">
        <f>IF(výpočty!$U$14=1,Kalkulace!D13,Kalkulace!D59)</f>
        <v>74.646879999999996</v>
      </c>
      <c r="E26" s="394"/>
      <c r="F26" s="384">
        <f>IF(výpočty!$U$14=1,Kalkulace!E13,Kalkulace!E59)</f>
        <v>45.276469999999996</v>
      </c>
      <c r="G26" s="394"/>
      <c r="H26" s="384" t="e">
        <f>IF(výpočty!$U$14=1,Kalkulace!F13,Kalkulace!F59)</f>
        <v>#N/A</v>
      </c>
      <c r="I26" s="394"/>
      <c r="J26" s="384">
        <f>IF(výpočty!$U$14=1,Kalkulace!G13,Kalkulace!G59)</f>
        <v>171.55571</v>
      </c>
      <c r="K26" s="385"/>
    </row>
    <row r="27" spans="1:11" s="1" customFormat="1" ht="18.75" thickBot="1" x14ac:dyDescent="0.3">
      <c r="A27" s="409" t="s">
        <v>5</v>
      </c>
      <c r="B27" s="410"/>
      <c r="C27" s="411"/>
      <c r="D27" s="382">
        <f>SUM(D23:E26)</f>
        <v>107.23849899999999</v>
      </c>
      <c r="E27" s="383"/>
      <c r="F27" s="382">
        <f>SUM(F23:G26)</f>
        <v>77.868088999999998</v>
      </c>
      <c r="G27" s="383"/>
      <c r="H27" s="382" t="e">
        <f>SUM(H23:I26)</f>
        <v>#N/A</v>
      </c>
      <c r="I27" s="383"/>
      <c r="J27" s="382">
        <f>SUM(J23:K26)</f>
        <v>204.14732900000001</v>
      </c>
      <c r="K27" s="383"/>
    </row>
    <row r="28" spans="1:11" ht="6.75" customHeight="1" x14ac:dyDescent="0.2"/>
    <row r="29" spans="1:11" ht="15.75" x14ac:dyDescent="0.25">
      <c r="A29" s="2" t="s">
        <v>11</v>
      </c>
    </row>
    <row r="30" spans="1:11" ht="6" customHeight="1" thickBot="1" x14ac:dyDescent="0.25"/>
    <row r="31" spans="1:11" ht="12.75" customHeight="1" thickBot="1" x14ac:dyDescent="0.25">
      <c r="A31" s="403" t="s">
        <v>87</v>
      </c>
      <c r="B31" s="404"/>
      <c r="C31" s="405"/>
      <c r="D31" s="387" t="s">
        <v>88</v>
      </c>
      <c r="E31" s="388"/>
      <c r="F31" s="387" t="s">
        <v>89</v>
      </c>
      <c r="G31" s="388"/>
      <c r="H31" s="397" t="s">
        <v>4</v>
      </c>
      <c r="I31" s="398"/>
      <c r="J31" s="396" t="s">
        <v>3</v>
      </c>
      <c r="K31" s="385"/>
    </row>
    <row r="32" spans="1:11" ht="12.75" customHeight="1" thickBot="1" x14ac:dyDescent="0.25">
      <c r="A32" s="406"/>
      <c r="B32" s="407"/>
      <c r="C32" s="408"/>
      <c r="D32" s="389"/>
      <c r="E32" s="390"/>
      <c r="F32" s="389"/>
      <c r="G32" s="390"/>
      <c r="H32" s="399"/>
      <c r="I32" s="400"/>
      <c r="J32" s="396"/>
      <c r="K32" s="385"/>
    </row>
    <row r="33" spans="1:11" ht="13.5" thickBot="1" x14ac:dyDescent="0.25">
      <c r="A33" s="401" t="s">
        <v>7</v>
      </c>
      <c r="B33" s="402"/>
      <c r="C33" s="402"/>
      <c r="D33" s="384">
        <f>IF(výpočty!$U$14=1,Kalkulace!D20,Kalkulace!D66)</f>
        <v>0</v>
      </c>
      <c r="E33" s="394"/>
      <c r="F33" s="384">
        <f>IF(výpočty!$U$14=1,Kalkulace!E20,Kalkulace!E66)</f>
        <v>0</v>
      </c>
      <c r="G33" s="394"/>
      <c r="H33" s="384">
        <f>IF(výpočty!$U$14=1,Kalkulace!F20,Kalkulace!F66)</f>
        <v>0</v>
      </c>
      <c r="I33" s="394"/>
      <c r="J33" s="384">
        <f>IF(výpočty!$U$14=1,Kalkulace!G20,Kalkulace!G66)</f>
        <v>0</v>
      </c>
      <c r="K33" s="385"/>
    </row>
    <row r="34" spans="1:11" ht="13.5" thickBot="1" x14ac:dyDescent="0.25">
      <c r="A34" s="401" t="s">
        <v>8</v>
      </c>
      <c r="B34" s="402"/>
      <c r="C34" s="402"/>
      <c r="D34" s="384">
        <f>IF(výpočty!$U$14=1,Kalkulace!D21,Kalkulace!D67)</f>
        <v>4.5669880000000003</v>
      </c>
      <c r="E34" s="394"/>
      <c r="F34" s="384">
        <f>IF(výpočty!$U$14=1,Kalkulace!E21,Kalkulace!E67)</f>
        <v>4.5669880000000003</v>
      </c>
      <c r="G34" s="394"/>
      <c r="H34" s="384">
        <f>IF(výpočty!$U$14=1,Kalkulace!F21,Kalkulace!F67)</f>
        <v>12.503451999999999</v>
      </c>
      <c r="I34" s="394"/>
      <c r="J34" s="384">
        <f>IF(výpočty!$U$14=1,Kalkulace!G21,Kalkulace!G67)</f>
        <v>4.5669880000000003</v>
      </c>
      <c r="K34" s="385"/>
    </row>
    <row r="35" spans="1:11" ht="13.5" thickBot="1" x14ac:dyDescent="0.25">
      <c r="A35" s="401" t="s">
        <v>81</v>
      </c>
      <c r="B35" s="402"/>
      <c r="C35" s="402"/>
      <c r="D35" s="384">
        <f>IF(výpočty!$U$14=1,Kalkulace!D22,Kalkulace!D68)</f>
        <v>25.264606000000001</v>
      </c>
      <c r="E35" s="394"/>
      <c r="F35" s="384">
        <f>IF(výpočty!$U$14=1,Kalkulace!E22,Kalkulace!E68)</f>
        <v>25.264606000000001</v>
      </c>
      <c r="G35" s="394"/>
      <c r="H35" s="384" t="e">
        <f>IF(výpočty!$U$14=1,Kalkulace!F22,Kalkulace!F68)</f>
        <v>#N/A</v>
      </c>
      <c r="I35" s="394"/>
      <c r="J35" s="384">
        <f>IF(výpočty!$U$14=1,Kalkulace!G22,Kalkulace!G68)</f>
        <v>25.264606000000001</v>
      </c>
      <c r="K35" s="385"/>
    </row>
    <row r="36" spans="1:11" ht="13.5" thickBot="1" x14ac:dyDescent="0.25">
      <c r="A36" s="412" t="s">
        <v>82</v>
      </c>
      <c r="B36" s="412"/>
      <c r="C36" s="413"/>
      <c r="D36" s="384">
        <f>IF(výpočty!$U$14=1,Kalkulace!D23,Kalkulace!D69)</f>
        <v>74.646879999999996</v>
      </c>
      <c r="E36" s="394"/>
      <c r="F36" s="384">
        <f>IF(výpočty!$U$14=1,Kalkulace!E23,Kalkulace!E69)</f>
        <v>45.276469999999996</v>
      </c>
      <c r="G36" s="394"/>
      <c r="H36" s="384">
        <f>IF(výpočty!$U$14=1,Kalkulace!F23,Kalkulace!F69)</f>
        <v>220.142315</v>
      </c>
      <c r="I36" s="394"/>
      <c r="J36" s="384">
        <f>IF(výpočty!$U$14=1,Kalkulace!G23,Kalkulace!G69)</f>
        <v>157.22593499999999</v>
      </c>
      <c r="K36" s="385"/>
    </row>
    <row r="37" spans="1:11" s="1" customFormat="1" ht="18.75" thickBot="1" x14ac:dyDescent="0.3">
      <c r="A37" s="409" t="s">
        <v>5</v>
      </c>
      <c r="B37" s="410"/>
      <c r="C37" s="411"/>
      <c r="D37" s="382">
        <f>SUM(D33:E36)</f>
        <v>104.47847400000001</v>
      </c>
      <c r="E37" s="383"/>
      <c r="F37" s="382">
        <f>SUM(F33:G36)</f>
        <v>75.108063999999999</v>
      </c>
      <c r="G37" s="383"/>
      <c r="H37" s="382" t="e">
        <f>SUM(H33:I36)</f>
        <v>#N/A</v>
      </c>
      <c r="I37" s="383"/>
      <c r="J37" s="382">
        <f>SUM(J33:K36)</f>
        <v>187.05752899999999</v>
      </c>
      <c r="K37" s="383"/>
    </row>
    <row r="38" spans="1:11" ht="7.5" customHeight="1" x14ac:dyDescent="0.2"/>
    <row r="39" spans="1:11" ht="15.75" x14ac:dyDescent="0.25">
      <c r="A39" s="2" t="s">
        <v>434</v>
      </c>
      <c r="C39" s="165" t="s">
        <v>99</v>
      </c>
    </row>
    <row r="40" spans="1:11" ht="6" customHeight="1" thickBot="1" x14ac:dyDescent="0.25"/>
    <row r="41" spans="1:11" ht="12.75" customHeight="1" thickBot="1" x14ac:dyDescent="0.25">
      <c r="A41" s="428" t="s">
        <v>433</v>
      </c>
      <c r="B41" s="387" t="s">
        <v>88</v>
      </c>
      <c r="C41" s="414"/>
      <c r="D41" s="387" t="s">
        <v>89</v>
      </c>
      <c r="E41" s="388"/>
      <c r="F41" s="425" t="s">
        <v>4</v>
      </c>
      <c r="G41" s="388"/>
      <c r="H41" s="419" t="s">
        <v>3</v>
      </c>
      <c r="I41" s="420"/>
      <c r="J41" s="391" t="s">
        <v>100</v>
      </c>
      <c r="K41" s="392"/>
    </row>
    <row r="42" spans="1:11" ht="12.75" customHeight="1" thickBot="1" x14ac:dyDescent="0.25">
      <c r="A42" s="429"/>
      <c r="B42" s="415"/>
      <c r="C42" s="416"/>
      <c r="D42" s="389"/>
      <c r="E42" s="390"/>
      <c r="F42" s="389"/>
      <c r="G42" s="390"/>
      <c r="H42" s="421"/>
      <c r="I42" s="422"/>
      <c r="J42" s="393"/>
      <c r="K42" s="392"/>
    </row>
    <row r="43" spans="1:11" ht="12.75" customHeight="1" thickBot="1" x14ac:dyDescent="0.25">
      <c r="A43" s="429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5" thickBot="1" x14ac:dyDescent="0.25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0.60260999999999998</v>
      </c>
      <c r="G44" s="153">
        <f>IF(výpočty!$U$14=1,Kalkulace!H30,Kalkulace!H76)</f>
        <v>0.60260999999999998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5" thickBot="1" x14ac:dyDescent="0.25">
      <c r="A45" s="148" t="s">
        <v>8</v>
      </c>
      <c r="B45" s="162">
        <f>IF(výpočty!$U$14=1,Kalkulace!D31,Kalkulace!D77)</f>
        <v>11.481813000000001</v>
      </c>
      <c r="C45" s="154">
        <f>IF(výpočty!$U$14=1,Kalkulace!D41,Kalkulace!D87)</f>
        <v>25.591313</v>
      </c>
      <c r="D45" s="153">
        <f>IF(výpočty!$U$14=1,Kalkulace!E31,Kalkulace!E77)</f>
        <v>11.481813000000001</v>
      </c>
      <c r="E45" s="154">
        <f>IF(výpočty!$U$14=1,Kalkulace!E41,Kalkulace!E87)</f>
        <v>25.591313</v>
      </c>
      <c r="F45" s="153">
        <f>IF(výpočty!$U$14=1,Kalkulace!F31,Kalkulace!F77)</f>
        <v>18.537687000000002</v>
      </c>
      <c r="G45" s="153">
        <f>IF(výpočty!$U$14=1,Kalkulace!H31,Kalkulace!H77)</f>
        <v>25.591313</v>
      </c>
      <c r="H45" s="153">
        <f>IF(výpočty!$U$14=1,Kalkulace!G31,Kalkulace!G77)</f>
        <v>11.481813000000001</v>
      </c>
      <c r="I45" s="161">
        <f>IF(výpočty!$U$14=1,Kalkulace!H41,Kalkulace!H87)</f>
        <v>25.591313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5" thickBot="1" x14ac:dyDescent="0.25">
      <c r="A46" s="36" t="s">
        <v>413</v>
      </c>
      <c r="B46" s="162">
        <f>IF(výpočty!$U$14=1,Kalkulace!D32,Kalkulace!D78)</f>
        <v>26.291857</v>
      </c>
      <c r="C46" s="154">
        <f>IF(výpočty!$U$14=1,Kalkulace!D42,Kalkulace!D88)</f>
        <v>32.191794999999999</v>
      </c>
      <c r="D46" s="153">
        <f>IF(výpočty!$U$14=1,Kalkulace!E32,Kalkulace!E78)</f>
        <v>26.291857</v>
      </c>
      <c r="E46" s="154">
        <f>IF(výpočty!$U$14=1,Kalkulace!E42,Kalkulace!E88)</f>
        <v>32.191794999999999</v>
      </c>
      <c r="F46" s="153">
        <f>IF(výpočty!$U$14=1,Kalkulace!F32,Kalkulace!F78)</f>
        <v>26.291857</v>
      </c>
      <c r="G46" s="153">
        <f>IF(výpočty!$U$14=1,Kalkulace!H32,Kalkulace!H78)</f>
        <v>32.191794999999999</v>
      </c>
      <c r="H46" s="153">
        <f>IF(výpočty!$U$14=1,Kalkulace!G32,Kalkulace!G78)</f>
        <v>26.291857</v>
      </c>
      <c r="I46" s="161">
        <f>IF(výpočty!$U$14=1,Kalkulace!H42,Kalkulace!H88)</f>
        <v>32.191794999999999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5" thickBot="1" x14ac:dyDescent="0.25">
      <c r="A47" s="148" t="s">
        <v>82</v>
      </c>
      <c r="B47" s="162">
        <f>IF(výpočty!$U$14=1,Kalkulace!D33,Kalkulace!D79)</f>
        <v>74.646879999999996</v>
      </c>
      <c r="C47" s="154">
        <f>IF(výpočty!$U$14=1,Kalkulace!D43,Kalkulace!D89)</f>
        <v>74.646879999999996</v>
      </c>
      <c r="D47" s="153">
        <f>IF(výpočty!$U$14=1,Kalkulace!E33,Kalkulace!E79)</f>
        <v>45.276469999999996</v>
      </c>
      <c r="E47" s="154">
        <f>IF(výpočty!$U$14=1,Kalkulace!E43,Kalkulace!E89)</f>
        <v>45.276469999999996</v>
      </c>
      <c r="F47" s="153">
        <f>IF(výpočty!$U$14=1,Kalkulace!F33,Kalkulace!F79)</f>
        <v>322.74766499999998</v>
      </c>
      <c r="G47" s="153">
        <f>IF(výpočty!$U$14=1,Kalkulace!H33,Kalkulace!H79)</f>
        <v>448.02091499999995</v>
      </c>
      <c r="H47" s="153">
        <f>IF(výpočty!$U$14=1,Kalkulace!G33,Kalkulace!G79)</f>
        <v>241.58213499999999</v>
      </c>
      <c r="I47" s="161">
        <f>IF(výpočty!$U$14=1,Kalkulace!H43,Kalkulace!H89)</f>
        <v>340.68933499999997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5" thickBot="1" x14ac:dyDescent="0.25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.75" thickBot="1" x14ac:dyDescent="0.3">
      <c r="A49" s="149" t="s">
        <v>5</v>
      </c>
      <c r="B49" s="167">
        <f t="shared" ref="B49:I49" si="0">SUM(B44:B47)</f>
        <v>112.42054999999999</v>
      </c>
      <c r="C49" s="136">
        <f t="shared" si="0"/>
        <v>132.42998799999998</v>
      </c>
      <c r="D49" s="131">
        <f t="shared" si="0"/>
        <v>83.050139999999999</v>
      </c>
      <c r="E49" s="136">
        <f t="shared" si="0"/>
        <v>103.05957799999999</v>
      </c>
      <c r="F49" s="131">
        <f t="shared" si="0"/>
        <v>368.17981899999995</v>
      </c>
      <c r="G49" s="131">
        <f t="shared" si="0"/>
        <v>506.40663299999994</v>
      </c>
      <c r="H49" s="131">
        <f t="shared" si="0"/>
        <v>279.35580499999998</v>
      </c>
      <c r="I49" s="136">
        <f t="shared" si="0"/>
        <v>398.472443</v>
      </c>
      <c r="J49" s="131">
        <f>SUM(J44:J48)</f>
        <v>0</v>
      </c>
      <c r="K49" s="136">
        <f>SUM(K44:K48)</f>
        <v>0</v>
      </c>
    </row>
    <row r="50" spans="1:11" ht="8.25" customHeight="1" x14ac:dyDescent="0.2">
      <c r="B50" s="17"/>
    </row>
    <row r="51" spans="1:11" ht="15.75" x14ac:dyDescent="0.25">
      <c r="A51" s="2" t="s">
        <v>397</v>
      </c>
    </row>
    <row r="52" spans="1:11" ht="6" customHeight="1" x14ac:dyDescent="0.25">
      <c r="A52" s="2"/>
    </row>
    <row r="53" spans="1:11" x14ac:dyDescent="0.2">
      <c r="A53" t="s">
        <v>398</v>
      </c>
      <c r="E53" s="17"/>
    </row>
    <row r="54" spans="1:11" x14ac:dyDescent="0.2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">
      <c r="J56" s="166"/>
    </row>
    <row r="57" spans="1:11" ht="16.5" thickBot="1" x14ac:dyDescent="0.3">
      <c r="A57" s="2" t="s">
        <v>117</v>
      </c>
      <c r="J57" s="166"/>
    </row>
    <row r="58" spans="1:11" ht="13.5" thickBot="1" x14ac:dyDescent="0.25">
      <c r="A58" s="132" t="s">
        <v>120</v>
      </c>
      <c r="B58" s="133"/>
      <c r="C58" s="133"/>
      <c r="D58" s="40"/>
      <c r="E58" s="386" t="s">
        <v>21</v>
      </c>
      <c r="F58" s="385"/>
      <c r="G58" s="417" t="s">
        <v>121</v>
      </c>
      <c r="H58" s="418"/>
      <c r="J58" s="166"/>
    </row>
    <row r="59" spans="1:11" x14ac:dyDescent="0.2">
      <c r="A59" t="str">
        <f>IF(výpočty!$A$110=0,výpočty!A111,výpočty!A110)</f>
        <v>nie można zastosować mech.rolet. C3</v>
      </c>
      <c r="E59" s="380" t="str">
        <f>IF(výpočty!$C$110=0,výpočty!C111,výpočty!C110)</f>
        <v>nie można zastosować mech.rolet. C3</v>
      </c>
      <c r="F59" s="380"/>
      <c r="G59" s="381" t="str">
        <f>IF(výpočty!$D$110=0,výpočty!D111,výpočty!D110)</f>
        <v>nie można zastosować mech.rolet. C3</v>
      </c>
      <c r="H59" s="380"/>
      <c r="J59" s="166"/>
    </row>
    <row r="60" spans="1:11" x14ac:dyDescent="0.2">
      <c r="A60" t="str">
        <f>výpočty!A112</f>
        <v/>
      </c>
      <c r="E60" s="380" t="str">
        <f>výpočty!C112</f>
        <v/>
      </c>
      <c r="F60" s="380"/>
      <c r="G60" s="381" t="str">
        <f>výpočty!D112</f>
        <v/>
      </c>
      <c r="H60" s="380"/>
      <c r="J60" s="166"/>
    </row>
    <row r="61" spans="1:11" x14ac:dyDescent="0.2">
      <c r="A61" t="str">
        <f>výpočty!A114</f>
        <v>RB 50/CB - pro posun nahoru</v>
      </c>
      <c r="E61" s="380" t="str">
        <f>výpočty!C114</f>
        <v>bez omezení</v>
      </c>
      <c r="F61" s="380"/>
      <c r="G61" s="381" t="e">
        <f>výpočty!D114</f>
        <v>#N/A</v>
      </c>
      <c r="H61" s="380"/>
    </row>
    <row r="62" spans="1:11" x14ac:dyDescent="0.2">
      <c r="A62" t="str">
        <f>výpočty!A115</f>
        <v>RB 3B</v>
      </c>
      <c r="E62" s="380" t="str">
        <f>výpočty!C115</f>
        <v>bez omezení</v>
      </c>
      <c r="F62" s="380"/>
      <c r="G62" s="381">
        <f>výpočty!D115</f>
        <v>18.350619999999999</v>
      </c>
      <c r="H62" s="380"/>
    </row>
    <row r="63" spans="1:11" x14ac:dyDescent="0.2">
      <c r="A63" t="str">
        <f>výpočty!A116</f>
        <v/>
      </c>
      <c r="E63" s="380" t="str">
        <f>výpočty!C116</f>
        <v/>
      </c>
      <c r="F63" s="380"/>
      <c r="G63" s="381" t="str">
        <f>výpočty!D116</f>
        <v/>
      </c>
      <c r="H63" s="380"/>
    </row>
    <row r="64" spans="1:11" x14ac:dyDescent="0.2">
      <c r="A64" t="str">
        <f>výpočty!A117</f>
        <v/>
      </c>
      <c r="E64" s="380" t="str">
        <f>výpočty!C117</f>
        <v/>
      </c>
      <c r="F64" s="380"/>
      <c r="G64" s="381" t="str">
        <f>výpočty!D117</f>
        <v/>
      </c>
      <c r="H64" s="380"/>
    </row>
  </sheetData>
  <sheetProtection selectLockedCells="1"/>
  <mergeCells count="89"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9525</xdr:colOff>
                    <xdr:row>15</xdr:row>
                    <xdr:rowOff>28575</xdr:rowOff>
                  </from>
                  <to>
                    <xdr:col>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2.75" x14ac:dyDescent="0.2"/>
  <cols>
    <col min="3" max="3" width="70" bestFit="1" customWidth="1"/>
    <col min="60" max="60" width="18.7109375" bestFit="1" customWidth="1"/>
  </cols>
  <sheetData>
    <row r="1" spans="1:60" x14ac:dyDescent="0.2">
      <c r="A1" t="s">
        <v>2010</v>
      </c>
      <c r="B1" t="s">
        <v>441</v>
      </c>
      <c r="C1" t="s">
        <v>618</v>
      </c>
      <c r="D1" t="s">
        <v>2011</v>
      </c>
      <c r="E1" t="s">
        <v>2012</v>
      </c>
      <c r="F1" t="s">
        <v>2013</v>
      </c>
      <c r="G1" t="s">
        <v>2014</v>
      </c>
      <c r="H1" t="s">
        <v>121</v>
      </c>
      <c r="I1" t="s">
        <v>2015</v>
      </c>
      <c r="J1" t="s">
        <v>359</v>
      </c>
      <c r="K1" t="s">
        <v>2016</v>
      </c>
      <c r="L1" t="s">
        <v>2017</v>
      </c>
      <c r="M1" t="s">
        <v>2018</v>
      </c>
      <c r="N1" t="s">
        <v>2019</v>
      </c>
      <c r="O1" t="s">
        <v>2020</v>
      </c>
      <c r="P1" t="s">
        <v>2021</v>
      </c>
      <c r="Q1" t="s">
        <v>2022</v>
      </c>
      <c r="R1" t="s">
        <v>2023</v>
      </c>
      <c r="S1" t="s">
        <v>2024</v>
      </c>
      <c r="T1" t="s">
        <v>2025</v>
      </c>
      <c r="U1" t="s">
        <v>2026</v>
      </c>
      <c r="V1" t="s">
        <v>2027</v>
      </c>
      <c r="W1" t="s">
        <v>2028</v>
      </c>
      <c r="X1" t="s">
        <v>2029</v>
      </c>
      <c r="Y1" t="s">
        <v>2030</v>
      </c>
      <c r="Z1" t="s">
        <v>619</v>
      </c>
      <c r="AA1" t="s">
        <v>2031</v>
      </c>
      <c r="AB1" t="s">
        <v>2032</v>
      </c>
      <c r="AC1" t="s">
        <v>2033</v>
      </c>
      <c r="AD1" t="s">
        <v>2034</v>
      </c>
      <c r="AE1" t="s">
        <v>620</v>
      </c>
      <c r="AF1" t="s">
        <v>2035</v>
      </c>
      <c r="AG1" t="s">
        <v>621</v>
      </c>
      <c r="AH1" t="s">
        <v>2036</v>
      </c>
      <c r="AI1" t="s">
        <v>622</v>
      </c>
      <c r="AJ1" t="s">
        <v>623</v>
      </c>
      <c r="AK1" t="s">
        <v>2037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626</v>
      </c>
      <c r="BB1" t="s">
        <v>625</v>
      </c>
      <c r="BC1" t="s">
        <v>624</v>
      </c>
      <c r="BD1" t="s">
        <v>2053</v>
      </c>
      <c r="BE1" t="s">
        <v>2054</v>
      </c>
      <c r="BH1" s="321" t="s">
        <v>2070</v>
      </c>
    </row>
    <row r="2" spans="1:60" x14ac:dyDescent="0.2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1926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2055</v>
      </c>
      <c r="AQ2" t="s">
        <v>1926</v>
      </c>
      <c r="AR2" t="s">
        <v>1926</v>
      </c>
      <c r="AS2" t="s">
        <v>1926</v>
      </c>
      <c r="AZ2">
        <v>0</v>
      </c>
      <c r="BA2" t="s">
        <v>1760</v>
      </c>
      <c r="BB2" t="s">
        <v>1761</v>
      </c>
      <c r="BC2" t="s">
        <v>1087</v>
      </c>
      <c r="BD2" t="s">
        <v>2056</v>
      </c>
      <c r="BE2" s="330">
        <v>43138.478356481479</v>
      </c>
      <c r="BH2" t="str">
        <f>VLOOKUP(B:B,výpočty!$Z$246:$Z$515,1,FALSE)</f>
        <v>R95844</v>
      </c>
    </row>
    <row r="3" spans="1:60" x14ac:dyDescent="0.2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1728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2057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2058</v>
      </c>
      <c r="AQ3" t="s">
        <v>2057</v>
      </c>
      <c r="AR3" t="s">
        <v>2057</v>
      </c>
      <c r="AS3" t="s">
        <v>2057</v>
      </c>
      <c r="AZ3">
        <v>0</v>
      </c>
      <c r="BA3" t="s">
        <v>1562</v>
      </c>
      <c r="BB3" t="s">
        <v>1561</v>
      </c>
      <c r="BC3" t="s">
        <v>1560</v>
      </c>
      <c r="BD3" t="s">
        <v>2056</v>
      </c>
      <c r="BE3" s="330">
        <v>43138.435266203705</v>
      </c>
      <c r="BH3" t="str">
        <f>VLOOKUP(B:B,výpočty!$Z$246:$Z$515,1,FALSE)</f>
        <v>R95879M</v>
      </c>
    </row>
    <row r="4" spans="1:60" x14ac:dyDescent="0.2">
      <c r="A4">
        <v>112002</v>
      </c>
      <c r="B4">
        <v>307764</v>
      </c>
      <c r="C4" t="s">
        <v>2081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2082</v>
      </c>
      <c r="AQ4" t="s">
        <v>630</v>
      </c>
      <c r="AR4" t="s">
        <v>630</v>
      </c>
      <c r="AS4" t="s">
        <v>630</v>
      </c>
      <c r="AZ4">
        <v>0</v>
      </c>
      <c r="BA4" t="s">
        <v>2083</v>
      </c>
      <c r="BB4" t="s">
        <v>2207</v>
      </c>
      <c r="BC4" t="s">
        <v>2208</v>
      </c>
      <c r="BD4" t="s">
        <v>2209</v>
      </c>
      <c r="BE4" s="330">
        <v>43333.586574074077</v>
      </c>
      <c r="BH4">
        <f>VLOOKUP(B:B,výpočty!$Z$246:$Z$515,1,FALSE)</f>
        <v>307764</v>
      </c>
    </row>
    <row r="5" spans="1:60" x14ac:dyDescent="0.2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2056</v>
      </c>
      <c r="BE5" s="330">
        <v>43138.470231481479</v>
      </c>
      <c r="BH5" t="str">
        <f>VLOOKUP(B:B,výpočty!$Z$246:$Z$515,1,FALSE)</f>
        <v>R92850</v>
      </c>
    </row>
    <row r="6" spans="1:60" x14ac:dyDescent="0.2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2056</v>
      </c>
      <c r="BE6" s="330">
        <v>43138.469108796293</v>
      </c>
      <c r="BH6" t="str">
        <f>VLOOKUP(B:B,výpočty!$Z$246:$Z$515,1,FALSE)</f>
        <v>R00024</v>
      </c>
    </row>
    <row r="7" spans="1:60" x14ac:dyDescent="0.2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2056</v>
      </c>
      <c r="BE7" s="330">
        <v>43138.471400462964</v>
      </c>
      <c r="BH7" t="str">
        <f>VLOOKUP(B:B,výpočty!$Z$246:$Z$515,1,FALSE)</f>
        <v>R00025</v>
      </c>
    </row>
    <row r="8" spans="1:60" x14ac:dyDescent="0.2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2056</v>
      </c>
      <c r="BE8" s="330">
        <v>43138.478298611109</v>
      </c>
      <c r="BH8" t="str">
        <f>VLOOKUP(B:B,výpočty!$Z$246:$Z$515,1,FALSE)</f>
        <v>R00022</v>
      </c>
    </row>
    <row r="9" spans="1:60" x14ac:dyDescent="0.2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1728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2056</v>
      </c>
      <c r="BE9" s="330">
        <v>43138.478414351855</v>
      </c>
      <c r="BH9" t="str">
        <f>VLOOKUP(B:B,výpočty!$Z$246:$Z$515,1,FALSE)</f>
        <v>R00037</v>
      </c>
    </row>
    <row r="10" spans="1:60" x14ac:dyDescent="0.2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1728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2056</v>
      </c>
      <c r="BE10" s="330">
        <v>43138.469085648147</v>
      </c>
      <c r="BH10" t="str">
        <f>VLOOKUP(B:B,výpočty!$Z$246:$Z$515,1,FALSE)</f>
        <v>R00014</v>
      </c>
    </row>
    <row r="11" spans="1:60" x14ac:dyDescent="0.2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2056</v>
      </c>
      <c r="BE11" s="330">
        <v>43138.478506944448</v>
      </c>
      <c r="BH11" t="str">
        <f>VLOOKUP(B:B,výpočty!$Z$246:$Z$515,1,FALSE)</f>
        <v>R00047</v>
      </c>
    </row>
    <row r="12" spans="1:60" x14ac:dyDescent="0.2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2056</v>
      </c>
      <c r="BE12" s="330">
        <v>43138.478495370371</v>
      </c>
      <c r="BH12" t="str">
        <f>VLOOKUP(B:B,výpočty!$Z$246:$Z$515,1,FALSE)</f>
        <v>R00046</v>
      </c>
    </row>
    <row r="13" spans="1:60" x14ac:dyDescent="0.2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2056</v>
      </c>
      <c r="BE13" s="330">
        <v>43138.478495370371</v>
      </c>
      <c r="BH13" t="str">
        <f>VLOOKUP(B:B,výpočty!$Z$246:$Z$515,1,FALSE)</f>
        <v>R00045</v>
      </c>
    </row>
    <row r="14" spans="1:60" x14ac:dyDescent="0.2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2056</v>
      </c>
      <c r="BE14" s="330">
        <v>43138.471446759257</v>
      </c>
      <c r="BH14" t="str">
        <f>VLOOKUP(B:B,výpočty!$Z$246:$Z$515,1,FALSE)</f>
        <v>R00028</v>
      </c>
    </row>
    <row r="15" spans="1:60" x14ac:dyDescent="0.2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2056</v>
      </c>
      <c r="BE15" s="330">
        <v>43138.474282407406</v>
      </c>
      <c r="BH15" t="str">
        <f>VLOOKUP(B:B,výpočty!$Z$246:$Z$515,1,FALSE)</f>
        <v>R00029</v>
      </c>
    </row>
    <row r="16" spans="1:60" x14ac:dyDescent="0.2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2056</v>
      </c>
      <c r="BE16" s="330">
        <v>43138.474293981482</v>
      </c>
      <c r="BH16" t="str">
        <f>VLOOKUP(B:B,výpočty!$Z$246:$Z$515,1,FALSE)</f>
        <v>R00030</v>
      </c>
    </row>
    <row r="17" spans="1:60" x14ac:dyDescent="0.2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2056</v>
      </c>
      <c r="BE17" s="330">
        <v>43138.470289351855</v>
      </c>
      <c r="BH17" t="str">
        <f>VLOOKUP(B:B,výpočty!$Z$246:$Z$515,1,FALSE)</f>
        <v>R00032</v>
      </c>
    </row>
    <row r="18" spans="1:60" x14ac:dyDescent="0.2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2056</v>
      </c>
      <c r="BE18" s="330">
        <v>43138.471435185187</v>
      </c>
      <c r="BH18" t="str">
        <f>VLOOKUP(B:B,výpočty!$Z$246:$Z$515,1,FALSE)</f>
        <v>R00026</v>
      </c>
    </row>
    <row r="19" spans="1:60" x14ac:dyDescent="0.2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2056</v>
      </c>
      <c r="BE19" s="330">
        <v>43138.471446759257</v>
      </c>
      <c r="BH19" t="str">
        <f>VLOOKUP(B:B,výpočty!$Z$246:$Z$515,1,FALSE)</f>
        <v>R00027</v>
      </c>
    </row>
    <row r="20" spans="1:60" x14ac:dyDescent="0.2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2056</v>
      </c>
      <c r="BE20" s="330">
        <v>43138.469166666669</v>
      </c>
      <c r="BH20" t="str">
        <f>VLOOKUP(B:B,výpočty!$Z$246:$Z$515,1,FALSE)</f>
        <v>R00031</v>
      </c>
    </row>
    <row r="21" spans="1:60" x14ac:dyDescent="0.2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1846</v>
      </c>
      <c r="BB21" t="s">
        <v>1350</v>
      </c>
      <c r="BC21" t="s">
        <v>671</v>
      </c>
      <c r="BD21" t="s">
        <v>2056</v>
      </c>
      <c r="BE21" s="330">
        <v>43138.471388888887</v>
      </c>
      <c r="BH21" t="str">
        <f>VLOOKUP(B:B,výpočty!$Z$246:$Z$515,1,FALSE)</f>
        <v>R00018</v>
      </c>
    </row>
    <row r="22" spans="1:60" x14ac:dyDescent="0.2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1847</v>
      </c>
      <c r="BB22" t="s">
        <v>1351</v>
      </c>
      <c r="BC22" t="s">
        <v>673</v>
      </c>
      <c r="BD22" t="s">
        <v>2056</v>
      </c>
      <c r="BE22" s="330">
        <v>43138.471400462964</v>
      </c>
      <c r="BH22" t="str">
        <f>VLOOKUP(B:B,výpočty!$Z$246:$Z$515,1,FALSE)</f>
        <v>R00019</v>
      </c>
    </row>
    <row r="23" spans="1:60" x14ac:dyDescent="0.2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1844</v>
      </c>
      <c r="BB23" t="s">
        <v>1348</v>
      </c>
      <c r="BC23" t="s">
        <v>667</v>
      </c>
      <c r="BD23" t="s">
        <v>2056</v>
      </c>
      <c r="BE23" s="330">
        <v>43138.471388888887</v>
      </c>
      <c r="BH23" t="str">
        <f>VLOOKUP(B:B,výpočty!$Z$246:$Z$515,1,FALSE)</f>
        <v>R00016</v>
      </c>
    </row>
    <row r="24" spans="1:60" x14ac:dyDescent="0.2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1845</v>
      </c>
      <c r="BB24" t="s">
        <v>1349</v>
      </c>
      <c r="BC24" t="s">
        <v>669</v>
      </c>
      <c r="BD24" t="s">
        <v>2056</v>
      </c>
      <c r="BE24" s="330">
        <v>43138.471388888887</v>
      </c>
      <c r="BH24" t="str">
        <f>VLOOKUP(B:B,výpočty!$Z$246:$Z$515,1,FALSE)</f>
        <v>R00017</v>
      </c>
    </row>
    <row r="25" spans="1:60" x14ac:dyDescent="0.2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1849</v>
      </c>
      <c r="BB25" t="s">
        <v>1353</v>
      </c>
      <c r="BC25" t="s">
        <v>679</v>
      </c>
      <c r="BD25" t="s">
        <v>2056</v>
      </c>
      <c r="BE25" s="330">
        <v>43138.469085648147</v>
      </c>
      <c r="BH25" t="str">
        <f>VLOOKUP(B:B,výpočty!$Z$246:$Z$515,1,FALSE)</f>
        <v>R00021</v>
      </c>
    </row>
    <row r="26" spans="1:60" x14ac:dyDescent="0.2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1848</v>
      </c>
      <c r="BB26" t="s">
        <v>1352</v>
      </c>
      <c r="BC26" t="s">
        <v>676</v>
      </c>
      <c r="BD26" t="s">
        <v>2056</v>
      </c>
      <c r="BE26" s="330">
        <v>43138.470208333332</v>
      </c>
      <c r="BH26" t="str">
        <f>VLOOKUP(B:B,výpočty!$Z$246:$Z$515,1,FALSE)</f>
        <v>R00020</v>
      </c>
    </row>
    <row r="27" spans="1:60" x14ac:dyDescent="0.2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1728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2059</v>
      </c>
      <c r="BE27" s="330">
        <v>43252.383194444446</v>
      </c>
      <c r="BH27" t="str">
        <f>VLOOKUP(B:B,výpočty!$Z$246:$Z$515,1,FALSE)</f>
        <v>R00048</v>
      </c>
    </row>
    <row r="28" spans="1:60" x14ac:dyDescent="0.2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2056</v>
      </c>
      <c r="BE28" s="330">
        <v>43138.430324074077</v>
      </c>
      <c r="BH28" t="str">
        <f>VLOOKUP(B:B,výpočty!$Z$246:$Z$515,1,FALSE)</f>
        <v>R00039</v>
      </c>
    </row>
    <row r="29" spans="1:60" x14ac:dyDescent="0.2">
      <c r="A29">
        <v>112002</v>
      </c>
      <c r="B29">
        <v>228521</v>
      </c>
      <c r="C29" t="s">
        <v>2075</v>
      </c>
      <c r="F29">
        <v>0</v>
      </c>
      <c r="G29">
        <v>222</v>
      </c>
      <c r="H29">
        <v>0</v>
      </c>
      <c r="I29">
        <v>0</v>
      </c>
      <c r="J29" t="s">
        <v>1728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2076</v>
      </c>
      <c r="BB29" t="s">
        <v>2077</v>
      </c>
      <c r="BC29" t="s">
        <v>2075</v>
      </c>
      <c r="BD29" t="s">
        <v>2056</v>
      </c>
      <c r="BE29" s="330">
        <v>43138.653136574074</v>
      </c>
      <c r="BH29">
        <f>VLOOKUP(B:B,výpočty!$Z$246:$Z$515,1,FALSE)</f>
        <v>228521</v>
      </c>
    </row>
    <row r="30" spans="1:60" x14ac:dyDescent="0.2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1728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2056</v>
      </c>
      <c r="BE30" s="330">
        <v>43138.469050925924</v>
      </c>
      <c r="BH30" t="str">
        <f>VLOOKUP(B:B,výpočty!$Z$246:$Z$515,1,FALSE)</f>
        <v>R00002</v>
      </c>
    </row>
    <row r="31" spans="1:60" x14ac:dyDescent="0.2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1728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2056</v>
      </c>
      <c r="BE31" s="330">
        <v>43138.47016203704</v>
      </c>
      <c r="BH31" t="str">
        <f>VLOOKUP(B:B,výpočty!$Z$246:$Z$515,1,FALSE)</f>
        <v>R00001</v>
      </c>
    </row>
    <row r="32" spans="1:60" x14ac:dyDescent="0.2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1728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2056</v>
      </c>
      <c r="BE32" s="330">
        <v>43138.471354166664</v>
      </c>
      <c r="BH32" t="str">
        <f>VLOOKUP(B:B,výpočty!$Z$246:$Z$515,1,FALSE)</f>
        <v>R00004</v>
      </c>
    </row>
    <row r="33" spans="1:60" x14ac:dyDescent="0.2">
      <c r="A33">
        <v>112002</v>
      </c>
      <c r="B33">
        <v>202650</v>
      </c>
      <c r="C33" t="s">
        <v>2063</v>
      </c>
      <c r="F33">
        <v>0</v>
      </c>
      <c r="G33">
        <v>222</v>
      </c>
      <c r="H33">
        <v>0</v>
      </c>
      <c r="I33">
        <v>0</v>
      </c>
      <c r="J33" t="s">
        <v>1728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2064</v>
      </c>
      <c r="BB33" t="s">
        <v>2065</v>
      </c>
      <c r="BC33" t="s">
        <v>2063</v>
      </c>
      <c r="BD33" t="s">
        <v>2056</v>
      </c>
      <c r="BE33" s="330">
        <v>43138.556168981479</v>
      </c>
      <c r="BH33">
        <f>VLOOKUP(B:B,výpočty!$Z$246:$Z$515,1,FALSE)</f>
        <v>202650</v>
      </c>
    </row>
    <row r="34" spans="1:60" x14ac:dyDescent="0.2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2056</v>
      </c>
      <c r="BE34" s="330">
        <v>43138.471365740741</v>
      </c>
      <c r="BH34" t="str">
        <f>VLOOKUP(B:B,výpočty!$Z$246:$Z$515,1,FALSE)</f>
        <v>R00005</v>
      </c>
    </row>
    <row r="35" spans="1:60" x14ac:dyDescent="0.2">
      <c r="A35">
        <v>112002</v>
      </c>
      <c r="B35">
        <v>244830</v>
      </c>
      <c r="C35" t="s">
        <v>2078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2079</v>
      </c>
      <c r="BB35" t="s">
        <v>2080</v>
      </c>
      <c r="BC35" t="s">
        <v>2205</v>
      </c>
      <c r="BD35" t="s">
        <v>2206</v>
      </c>
      <c r="BE35" s="330">
        <v>43333.464849537035</v>
      </c>
      <c r="BH35">
        <f>VLOOKUP(B:B,výpočty!$Z$246:$Z$515,1,FALSE)</f>
        <v>244830</v>
      </c>
    </row>
    <row r="36" spans="1:60" x14ac:dyDescent="0.2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1728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2056</v>
      </c>
      <c r="BE36" s="330">
        <v>43138.47042824074</v>
      </c>
      <c r="BH36" t="str">
        <f>VLOOKUP(B:B,výpočty!$Z$246:$Z$515,1,FALSE)</f>
        <v>R00049</v>
      </c>
    </row>
    <row r="37" spans="1:60" x14ac:dyDescent="0.2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1728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2056</v>
      </c>
      <c r="BE37" s="330">
        <v>43138.474456018521</v>
      </c>
      <c r="BH37" t="str">
        <f>VLOOKUP(B:B,výpočty!$Z$246:$Z$515,1,FALSE)</f>
        <v>R96085</v>
      </c>
    </row>
    <row r="38" spans="1:60" x14ac:dyDescent="0.2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1728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2056</v>
      </c>
      <c r="BE38" s="330">
        <v>43138.474444444444</v>
      </c>
      <c r="BH38" t="str">
        <f>VLOOKUP(B:B,výpočty!$Z$246:$Z$515,1,FALSE)</f>
        <v>R96086</v>
      </c>
    </row>
    <row r="39" spans="1:60" x14ac:dyDescent="0.2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1728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2056</v>
      </c>
      <c r="BE39" s="330">
        <v>43138.470370370371</v>
      </c>
      <c r="BH39" t="str">
        <f>VLOOKUP(B:B,výpočty!$Z$246:$Z$515,1,FALSE)</f>
        <v>R96076</v>
      </c>
    </row>
    <row r="40" spans="1:60" x14ac:dyDescent="0.2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1728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2056</v>
      </c>
      <c r="BE40" s="330">
        <v>43138.469259259262</v>
      </c>
      <c r="BH40" t="str">
        <f>VLOOKUP(B:B,výpočty!$Z$246:$Z$515,1,FALSE)</f>
        <v>R96077</v>
      </c>
    </row>
    <row r="41" spans="1:60" x14ac:dyDescent="0.2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1728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1757</v>
      </c>
      <c r="BB41" t="s">
        <v>1476</v>
      </c>
      <c r="BC41" t="s">
        <v>1078</v>
      </c>
      <c r="BD41" t="s">
        <v>2056</v>
      </c>
      <c r="BE41" s="330">
        <v>43138.471435185187</v>
      </c>
      <c r="BH41" t="str">
        <f>VLOOKUP(B:B,výpočty!$Z$246:$Z$515,1,FALSE)</f>
        <v>R95837</v>
      </c>
    </row>
    <row r="42" spans="1:60" x14ac:dyDescent="0.2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1728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2056</v>
      </c>
      <c r="BE42" s="330">
        <v>43138.47142361111</v>
      </c>
      <c r="BH42" t="str">
        <f>VLOOKUP(B:B,výpočty!$Z$246:$Z$515,1,FALSE)</f>
        <v>R95838</v>
      </c>
    </row>
    <row r="43" spans="1:60" x14ac:dyDescent="0.2">
      <c r="A43">
        <v>112002</v>
      </c>
      <c r="B43">
        <v>202652</v>
      </c>
      <c r="C43" t="s">
        <v>2071</v>
      </c>
      <c r="F43">
        <v>0</v>
      </c>
      <c r="G43">
        <v>222</v>
      </c>
      <c r="H43">
        <v>0</v>
      </c>
      <c r="I43">
        <v>0</v>
      </c>
      <c r="J43" t="s">
        <v>1728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2067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2072</v>
      </c>
      <c r="BB43" t="s">
        <v>2073</v>
      </c>
      <c r="BC43" t="s">
        <v>2074</v>
      </c>
      <c r="BD43" t="s">
        <v>2056</v>
      </c>
      <c r="BE43" s="330">
        <v>43138.556168981479</v>
      </c>
      <c r="BH43">
        <f>VLOOKUP(B:B,výpočty!$Z$246:$Z$515,1,FALSE)</f>
        <v>202652</v>
      </c>
    </row>
    <row r="44" spans="1:60" x14ac:dyDescent="0.2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2056</v>
      </c>
      <c r="BE44" s="330">
        <v>43138.474490740744</v>
      </c>
      <c r="BH44" t="str">
        <f>VLOOKUP(B:B,výpočty!$Z$246:$Z$515,1,FALSE)</f>
        <v>R00050</v>
      </c>
    </row>
    <row r="45" spans="1:60" x14ac:dyDescent="0.2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2055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1763</v>
      </c>
      <c r="BC45" t="s">
        <v>1089</v>
      </c>
      <c r="BD45" t="s">
        <v>2056</v>
      </c>
      <c r="BE45" s="330">
        <v>43138.469155092593</v>
      </c>
      <c r="BH45" t="str">
        <f>VLOOKUP(B:B,výpočty!$Z$246:$Z$515,1,FALSE)</f>
        <v>R95845</v>
      </c>
    </row>
    <row r="46" spans="1:60" x14ac:dyDescent="0.2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2055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1762</v>
      </c>
      <c r="BC46" t="s">
        <v>1092</v>
      </c>
      <c r="BD46" t="s">
        <v>2056</v>
      </c>
      <c r="BE46" s="330">
        <v>43138.478356481479</v>
      </c>
      <c r="BH46" t="str">
        <f>VLOOKUP(B:B,výpočty!$Z$246:$Z$515,1,FALSE)</f>
        <v>R95846</v>
      </c>
    </row>
    <row r="47" spans="1:60" x14ac:dyDescent="0.2">
      <c r="A47">
        <v>112002</v>
      </c>
      <c r="B47">
        <v>202651</v>
      </c>
      <c r="C47" t="s">
        <v>2066</v>
      </c>
      <c r="F47">
        <v>0</v>
      </c>
      <c r="G47">
        <v>222</v>
      </c>
      <c r="H47">
        <v>0</v>
      </c>
      <c r="I47">
        <v>0</v>
      </c>
      <c r="J47" t="s">
        <v>1728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2067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2068</v>
      </c>
      <c r="BB47" t="s">
        <v>2069</v>
      </c>
      <c r="BC47" t="s">
        <v>2066</v>
      </c>
      <c r="BD47" t="s">
        <v>2056</v>
      </c>
      <c r="BE47" s="330">
        <v>43138.564837962964</v>
      </c>
      <c r="BH47">
        <f>VLOOKUP(B:B,výpočty!$Z$246:$Z$515,1,FALSE)</f>
        <v>202651</v>
      </c>
    </row>
    <row r="48" spans="1:60" x14ac:dyDescent="0.2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1728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2056</v>
      </c>
      <c r="BE48" s="330">
        <v>43138.478449074071</v>
      </c>
      <c r="BH48" t="str">
        <f>VLOOKUP(B:B,výpočty!$Z$246:$Z$515,1,FALSE)</f>
        <v>R97028</v>
      </c>
    </row>
    <row r="49" spans="1:60" x14ac:dyDescent="0.2">
      <c r="A49">
        <v>112002</v>
      </c>
      <c r="B49">
        <v>178140</v>
      </c>
      <c r="C49" t="s">
        <v>2060</v>
      </c>
      <c r="F49">
        <v>0</v>
      </c>
      <c r="G49">
        <v>222</v>
      </c>
      <c r="H49">
        <v>0</v>
      </c>
      <c r="I49">
        <v>0</v>
      </c>
      <c r="J49" t="s">
        <v>1728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2061</v>
      </c>
      <c r="BB49" t="s">
        <v>2062</v>
      </c>
      <c r="BC49" t="s">
        <v>2060</v>
      </c>
      <c r="BD49" t="s">
        <v>2056</v>
      </c>
      <c r="BE49" s="330">
        <v>43138.5315625</v>
      </c>
      <c r="BH49">
        <f>VLOOKUP(B:B,výpočty!$Z$246:$Z$515,1,FALSE)</f>
        <v>178140</v>
      </c>
    </row>
    <row r="50" spans="1:60" x14ac:dyDescent="0.2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2056</v>
      </c>
      <c r="BE50" s="330">
        <v>43138.474421296298</v>
      </c>
      <c r="BH50" t="str">
        <f>VLOOKUP(B:B,výpočty!$Z$246:$Z$515,1,FALSE)</f>
        <v>R00059</v>
      </c>
    </row>
    <row r="51" spans="1:60" x14ac:dyDescent="0.2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2056</v>
      </c>
      <c r="BE51" s="330">
        <v>43138.478449074071</v>
      </c>
      <c r="BH51" t="str">
        <f>VLOOKUP(B:B,výpočty!$Z$246:$Z$515,1,FALSE)</f>
        <v>R97029</v>
      </c>
    </row>
    <row r="52" spans="1:60" x14ac:dyDescent="0.2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2056</v>
      </c>
      <c r="BE52" s="330">
        <v>43138.478437500002</v>
      </c>
      <c r="BH52" t="str">
        <f>VLOOKUP(B:B,výpočty!$Z$246:$Z$515,1,FALSE)</f>
        <v>R00043</v>
      </c>
    </row>
    <row r="53" spans="1:60" x14ac:dyDescent="0.2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2056</v>
      </c>
      <c r="BE53" s="330">
        <v>43138.470358796294</v>
      </c>
      <c r="BH53" t="str">
        <f>VLOOKUP(B:B,výpočty!$Z$246:$Z$515,1,FALSE)</f>
        <v>R00040</v>
      </c>
    </row>
    <row r="54" spans="1:60" x14ac:dyDescent="0.2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2056</v>
      </c>
      <c r="BE54" s="330">
        <v>43138.469236111108</v>
      </c>
      <c r="BH54" t="str">
        <f>VLOOKUP(B:B,výpočty!$Z$246:$Z$515,1,FALSE)</f>
        <v>R00041</v>
      </c>
    </row>
    <row r="55" spans="1:60" x14ac:dyDescent="0.2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2056</v>
      </c>
      <c r="BE55" s="330">
        <v>43138.470439814817</v>
      </c>
      <c r="BH55" t="str">
        <f>VLOOKUP(B:B,výpočty!$Z$246:$Z$515,1,FALSE)</f>
        <v>R00053</v>
      </c>
    </row>
    <row r="56" spans="1:60" x14ac:dyDescent="0.2">
      <c r="A56">
        <v>112002</v>
      </c>
      <c r="B56">
        <v>365389</v>
      </c>
      <c r="C56" t="s">
        <v>2084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2085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2086</v>
      </c>
      <c r="AQ56" t="s">
        <v>2085</v>
      </c>
      <c r="AR56" t="s">
        <v>2085</v>
      </c>
      <c r="AS56" t="s">
        <v>2085</v>
      </c>
      <c r="AZ56">
        <v>0</v>
      </c>
      <c r="BD56" t="s">
        <v>2087</v>
      </c>
      <c r="BE56" s="330">
        <v>43276.750324074077</v>
      </c>
      <c r="BH56">
        <f>VLOOKUP(B:B,výpočty!$Z$246:$Z$515,1,FALSE)</f>
        <v>365389</v>
      </c>
    </row>
    <row r="57" spans="1:60" x14ac:dyDescent="0.2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1925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1925</v>
      </c>
      <c r="AR57" t="s">
        <v>1925</v>
      </c>
      <c r="AS57" t="s">
        <v>1925</v>
      </c>
      <c r="AZ57">
        <v>0</v>
      </c>
      <c r="BA57" t="s">
        <v>2090</v>
      </c>
      <c r="BB57" t="s">
        <v>1355</v>
      </c>
      <c r="BC57" t="s">
        <v>686</v>
      </c>
      <c r="BD57" t="s">
        <v>2056</v>
      </c>
      <c r="BE57" s="330">
        <v>43138.478310185186</v>
      </c>
      <c r="BH57" t="str">
        <f>VLOOKUP(B:B,výpočty!$Z$246:$Z$515,1,FALSE)</f>
        <v>R00023</v>
      </c>
    </row>
    <row r="58" spans="1:60" x14ac:dyDescent="0.2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1728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1925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1925</v>
      </c>
      <c r="AR58" t="s">
        <v>1925</v>
      </c>
      <c r="AS58" t="s">
        <v>1925</v>
      </c>
      <c r="AZ58">
        <v>0</v>
      </c>
      <c r="BA58" t="s">
        <v>2089</v>
      </c>
      <c r="BB58" t="s">
        <v>1347</v>
      </c>
      <c r="BC58" t="s">
        <v>665</v>
      </c>
      <c r="BD58" t="s">
        <v>2056</v>
      </c>
      <c r="BE58" s="330">
        <v>43138.470196759263</v>
      </c>
      <c r="BH58" t="str">
        <f>VLOOKUP(B:B,výpočty!$Z$246:$Z$515,1,FALSE)</f>
        <v>R00015</v>
      </c>
    </row>
    <row r="59" spans="1:60" x14ac:dyDescent="0.2">
      <c r="A59">
        <v>112002</v>
      </c>
      <c r="B59">
        <v>353559</v>
      </c>
      <c r="C59" t="s">
        <v>2104</v>
      </c>
      <c r="F59">
        <v>0</v>
      </c>
      <c r="G59">
        <v>222</v>
      </c>
      <c r="H59">
        <v>0</v>
      </c>
      <c r="I59">
        <v>0</v>
      </c>
      <c r="J59" t="s">
        <v>1728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1925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2105</v>
      </c>
      <c r="AQ59" t="s">
        <v>1925</v>
      </c>
      <c r="AR59" t="s">
        <v>1925</v>
      </c>
      <c r="AS59" t="s">
        <v>1925</v>
      </c>
      <c r="AZ59">
        <v>10</v>
      </c>
      <c r="BA59" t="s">
        <v>2106</v>
      </c>
      <c r="BB59" t="s">
        <v>2213</v>
      </c>
      <c r="BC59" t="s">
        <v>2107</v>
      </c>
      <c r="BD59" t="s">
        <v>2209</v>
      </c>
      <c r="BE59" s="330">
        <v>43333.61005787037</v>
      </c>
      <c r="BH59">
        <f>VLOOKUP(B:B,výpočty!$Z$246:$Z$515,1,FALSE)</f>
        <v>353559</v>
      </c>
    </row>
    <row r="60" spans="1:60" x14ac:dyDescent="0.2">
      <c r="A60">
        <v>112002</v>
      </c>
      <c r="B60">
        <v>353554</v>
      </c>
      <c r="C60" t="s">
        <v>2092</v>
      </c>
      <c r="F60">
        <v>0</v>
      </c>
      <c r="G60">
        <v>222</v>
      </c>
      <c r="H60">
        <v>0</v>
      </c>
      <c r="I60">
        <v>0</v>
      </c>
      <c r="J60" t="s">
        <v>1728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1925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2093</v>
      </c>
      <c r="AQ60" t="s">
        <v>1925</v>
      </c>
      <c r="AR60" t="s">
        <v>1925</v>
      </c>
      <c r="AS60" t="s">
        <v>1925</v>
      </c>
      <c r="AZ60">
        <v>10</v>
      </c>
      <c r="BA60" t="s">
        <v>2094</v>
      </c>
      <c r="BB60" t="s">
        <v>2210</v>
      </c>
      <c r="BC60" t="s">
        <v>2095</v>
      </c>
      <c r="BD60" t="s">
        <v>2209</v>
      </c>
      <c r="BE60" s="330">
        <v>43333.587488425925</v>
      </c>
      <c r="BH60">
        <f>VLOOKUP(B:B,výpočty!$Z$246:$Z$515,1,FALSE)</f>
        <v>353554</v>
      </c>
    </row>
    <row r="61" spans="1:60" x14ac:dyDescent="0.2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1728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1925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1925</v>
      </c>
      <c r="AR61" t="s">
        <v>1925</v>
      </c>
      <c r="AS61" t="s">
        <v>1925</v>
      </c>
      <c r="AZ61">
        <v>0</v>
      </c>
      <c r="BA61" t="s">
        <v>2088</v>
      </c>
      <c r="BB61" t="s">
        <v>1340</v>
      </c>
      <c r="BC61" t="s">
        <v>637</v>
      </c>
      <c r="BD61" t="s">
        <v>2056</v>
      </c>
      <c r="BE61" s="330">
        <v>43138.471354166664</v>
      </c>
      <c r="BH61" t="str">
        <f>VLOOKUP(B:B,výpočty!$Z$246:$Z$515,1,FALSE)</f>
        <v>R00003</v>
      </c>
    </row>
    <row r="62" spans="1:60" x14ac:dyDescent="0.2">
      <c r="A62">
        <v>112002</v>
      </c>
      <c r="B62">
        <v>353556</v>
      </c>
      <c r="C62" t="s">
        <v>2096</v>
      </c>
      <c r="F62">
        <v>0</v>
      </c>
      <c r="G62">
        <v>222</v>
      </c>
      <c r="H62">
        <v>0</v>
      </c>
      <c r="I62">
        <v>0</v>
      </c>
      <c r="J62" t="s">
        <v>1728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1925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2097</v>
      </c>
      <c r="AQ62" t="s">
        <v>1925</v>
      </c>
      <c r="AR62" t="s">
        <v>1925</v>
      </c>
      <c r="AS62" t="s">
        <v>1925</v>
      </c>
      <c r="AZ62">
        <v>10</v>
      </c>
      <c r="BA62" t="s">
        <v>2098</v>
      </c>
      <c r="BB62" t="s">
        <v>2211</v>
      </c>
      <c r="BC62" t="s">
        <v>2099</v>
      </c>
      <c r="BD62" t="s">
        <v>2209</v>
      </c>
      <c r="BE62" s="330">
        <v>43333.588067129633</v>
      </c>
      <c r="BH62">
        <f>VLOOKUP(B:B,výpočty!$Z$246:$Z$515,1,FALSE)</f>
        <v>353556</v>
      </c>
    </row>
    <row r="63" spans="1:60" x14ac:dyDescent="0.2">
      <c r="A63">
        <v>112002</v>
      </c>
      <c r="B63">
        <v>353560</v>
      </c>
      <c r="C63" t="s">
        <v>2108</v>
      </c>
      <c r="F63">
        <v>0</v>
      </c>
      <c r="G63">
        <v>222</v>
      </c>
      <c r="H63">
        <v>0</v>
      </c>
      <c r="I63">
        <v>0</v>
      </c>
      <c r="J63" t="s">
        <v>1728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1925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2109</v>
      </c>
      <c r="AQ63" t="s">
        <v>1925</v>
      </c>
      <c r="AR63" t="s">
        <v>1925</v>
      </c>
      <c r="AS63" t="s">
        <v>1925</v>
      </c>
      <c r="AZ63">
        <v>10</v>
      </c>
      <c r="BA63" t="s">
        <v>2110</v>
      </c>
      <c r="BB63" t="s">
        <v>2214</v>
      </c>
      <c r="BC63" t="s">
        <v>2111</v>
      </c>
      <c r="BD63" t="s">
        <v>2209</v>
      </c>
      <c r="BE63" s="330">
        <v>43333.610543981478</v>
      </c>
      <c r="BH63">
        <f>VLOOKUP(B:B,výpočty!$Z$246:$Z$515,1,FALSE)</f>
        <v>353560</v>
      </c>
    </row>
    <row r="64" spans="1:60" x14ac:dyDescent="0.2">
      <c r="A64">
        <v>112002</v>
      </c>
      <c r="B64">
        <v>353557</v>
      </c>
      <c r="C64" t="s">
        <v>2100</v>
      </c>
      <c r="F64">
        <v>0</v>
      </c>
      <c r="G64">
        <v>222</v>
      </c>
      <c r="H64">
        <v>0</v>
      </c>
      <c r="I64">
        <v>0</v>
      </c>
      <c r="J64" t="s">
        <v>1728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1925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2101</v>
      </c>
      <c r="AQ64" t="s">
        <v>1925</v>
      </c>
      <c r="AR64" t="s">
        <v>1925</v>
      </c>
      <c r="AS64" t="s">
        <v>1925</v>
      </c>
      <c r="AZ64">
        <v>10</v>
      </c>
      <c r="BA64" t="s">
        <v>2102</v>
      </c>
      <c r="BB64" t="s">
        <v>2212</v>
      </c>
      <c r="BC64" t="s">
        <v>2103</v>
      </c>
      <c r="BD64" t="s">
        <v>2209</v>
      </c>
      <c r="BE64" s="330">
        <v>43333.609571759262</v>
      </c>
      <c r="BH64">
        <f>VLOOKUP(B:B,výpočty!$Z$246:$Z$515,1,FALSE)</f>
        <v>353557</v>
      </c>
    </row>
    <row r="65" spans="1:60" x14ac:dyDescent="0.2">
      <c r="A65">
        <v>112002</v>
      </c>
      <c r="B65">
        <v>353561</v>
      </c>
      <c r="C65" t="s">
        <v>2112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1925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2112</v>
      </c>
      <c r="AQ65" t="s">
        <v>1925</v>
      </c>
      <c r="AR65" t="s">
        <v>1925</v>
      </c>
      <c r="AS65" t="s">
        <v>1925</v>
      </c>
      <c r="AZ65">
        <v>10</v>
      </c>
      <c r="BA65" t="s">
        <v>2113</v>
      </c>
      <c r="BB65" t="s">
        <v>2215</v>
      </c>
      <c r="BC65" t="s">
        <v>2114</v>
      </c>
      <c r="BD65" t="s">
        <v>2209</v>
      </c>
      <c r="BE65" s="330">
        <v>43333.610972222225</v>
      </c>
      <c r="BH65">
        <f>VLOOKUP(B:B,výpočty!$Z$246:$Z$515,1,FALSE)</f>
        <v>353561</v>
      </c>
    </row>
    <row r="66" spans="1:60" x14ac:dyDescent="0.2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1925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1925</v>
      </c>
      <c r="AR66" t="s">
        <v>1925</v>
      </c>
      <c r="AS66" t="s">
        <v>1925</v>
      </c>
      <c r="AZ66">
        <v>0</v>
      </c>
      <c r="BA66" t="s">
        <v>2091</v>
      </c>
      <c r="BB66" t="s">
        <v>1369</v>
      </c>
      <c r="BC66" t="s">
        <v>736</v>
      </c>
      <c r="BD66" t="s">
        <v>2056</v>
      </c>
      <c r="BE66" s="330">
        <v>43138.470358796294</v>
      </c>
      <c r="BH66" t="str">
        <f>VLOOKUP(B:B,výpočty!$Z$246:$Z$515,1,FALSE)</f>
        <v>R00042</v>
      </c>
    </row>
    <row r="67" spans="1:60" x14ac:dyDescent="0.2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2126</v>
      </c>
      <c r="AQ67" t="s">
        <v>767</v>
      </c>
      <c r="AR67" t="s">
        <v>767</v>
      </c>
      <c r="AS67" t="s">
        <v>767</v>
      </c>
      <c r="AZ67">
        <v>0</v>
      </c>
      <c r="BA67" t="s">
        <v>2127</v>
      </c>
      <c r="BB67" t="s">
        <v>1425</v>
      </c>
      <c r="BC67" t="s">
        <v>926</v>
      </c>
      <c r="BD67" t="s">
        <v>2056</v>
      </c>
      <c r="BE67" s="330">
        <v>43138.47042824074</v>
      </c>
      <c r="BH67" t="str">
        <f>VLOOKUP(B:B,výpočty!$Z$246:$Z$515,1,FALSE)</f>
        <v>R92816</v>
      </c>
    </row>
    <row r="68" spans="1:60" x14ac:dyDescent="0.2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2119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2056</v>
      </c>
      <c r="BE68" s="330">
        <v>43138.474363425928</v>
      </c>
      <c r="BH68" t="str">
        <f>VLOOKUP(B:B,výpočty!$Z$246:$Z$515,1,FALSE)</f>
        <v>R92852</v>
      </c>
    </row>
    <row r="69" spans="1:60" x14ac:dyDescent="0.2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2119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2056</v>
      </c>
      <c r="BE69" s="330">
        <v>43138.474351851852</v>
      </c>
      <c r="BH69" t="str">
        <f>VLOOKUP(B:B,výpočty!$Z$246:$Z$515,1,FALSE)</f>
        <v>R92848</v>
      </c>
    </row>
    <row r="70" spans="1:60" x14ac:dyDescent="0.2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2119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2056</v>
      </c>
      <c r="BE70" s="330">
        <v>43138.474340277775</v>
      </c>
      <c r="BH70" t="str">
        <f>VLOOKUP(B:B,výpočty!$Z$246:$Z$515,1,FALSE)</f>
        <v>R93228</v>
      </c>
    </row>
    <row r="71" spans="1:60" x14ac:dyDescent="0.2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2119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2056</v>
      </c>
      <c r="BE71" s="330">
        <v>43138.470324074071</v>
      </c>
      <c r="BH71" t="str">
        <f>VLOOKUP(B:B,výpočty!$Z$246:$Z$515,1,FALSE)</f>
        <v>R92854</v>
      </c>
    </row>
    <row r="72" spans="1:60" x14ac:dyDescent="0.2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2119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2056</v>
      </c>
      <c r="BE72" s="330">
        <v>43138.474363425928</v>
      </c>
      <c r="BH72" t="str">
        <f>VLOOKUP(B:B,výpočty!$Z$246:$Z$515,1,FALSE)</f>
        <v>R92853</v>
      </c>
    </row>
    <row r="73" spans="1:60" x14ac:dyDescent="0.2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2056</v>
      </c>
      <c r="BE73" s="330">
        <v>43138.469155092593</v>
      </c>
      <c r="BH73" t="str">
        <f>VLOOKUP(B:B,výpočty!$Z$246:$Z$515,1,FALSE)</f>
        <v>R95831</v>
      </c>
    </row>
    <row r="74" spans="1:60" x14ac:dyDescent="0.2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2056</v>
      </c>
      <c r="BE74" s="330">
        <v>43138.469108796293</v>
      </c>
      <c r="BH74" t="str">
        <f>VLOOKUP(B:B,výpočty!$Z$246:$Z$515,1,FALSE)</f>
        <v>R95948</v>
      </c>
    </row>
    <row r="75" spans="1:60" x14ac:dyDescent="0.2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2056</v>
      </c>
      <c r="BE75" s="330">
        <v>43138.470219907409</v>
      </c>
      <c r="BH75" t="str">
        <f>VLOOKUP(B:B,výpočty!$Z$246:$Z$515,1,FALSE)</f>
        <v>R95849</v>
      </c>
    </row>
    <row r="76" spans="1:60" x14ac:dyDescent="0.2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2056</v>
      </c>
      <c r="BE76" s="330">
        <v>43138.478310185186</v>
      </c>
      <c r="BH76" t="str">
        <f>VLOOKUP(B:B,výpočty!$Z$246:$Z$515,1,FALSE)</f>
        <v>R95848</v>
      </c>
    </row>
    <row r="77" spans="1:60" x14ac:dyDescent="0.2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2056</v>
      </c>
      <c r="BE77" s="330">
        <v>43138.478298611109</v>
      </c>
      <c r="BH77" t="str">
        <f>VLOOKUP(B:B,výpočty!$Z$246:$Z$515,1,FALSE)</f>
        <v>R88229</v>
      </c>
    </row>
    <row r="78" spans="1:60" x14ac:dyDescent="0.2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2056</v>
      </c>
      <c r="BE78" s="330">
        <v>43138.470277777778</v>
      </c>
      <c r="BH78" t="str">
        <f>VLOOKUP(B:B,výpočty!$Z$246:$Z$515,1,FALSE)</f>
        <v>R95799</v>
      </c>
    </row>
    <row r="79" spans="1:60" x14ac:dyDescent="0.2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2056</v>
      </c>
      <c r="BE79" s="330">
        <v>43138.470219907409</v>
      </c>
      <c r="BH79" t="str">
        <f>VLOOKUP(B:B,výpočty!$Z$246:$Z$515,1,FALSE)</f>
        <v>R77013</v>
      </c>
    </row>
    <row r="80" spans="1:60" x14ac:dyDescent="0.2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2056</v>
      </c>
      <c r="BE80" s="330">
        <v>43138.470219907409</v>
      </c>
      <c r="BH80" t="str">
        <f>VLOOKUP(B:B,výpočty!$Z$246:$Z$515,1,FALSE)</f>
        <v>R92828</v>
      </c>
    </row>
    <row r="81" spans="1:60" x14ac:dyDescent="0.2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1703</v>
      </c>
      <c r="BB81" t="s">
        <v>1415</v>
      </c>
      <c r="BC81" t="s">
        <v>895</v>
      </c>
      <c r="BD81" t="s">
        <v>2056</v>
      </c>
      <c r="BE81" s="330">
        <v>43138.469097222223</v>
      </c>
      <c r="BH81" t="str">
        <f>VLOOKUP(B:B,výpočty!$Z$246:$Z$515,1,FALSE)</f>
        <v>R88305</v>
      </c>
    </row>
    <row r="82" spans="1:60" x14ac:dyDescent="0.2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1728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2056</v>
      </c>
      <c r="BE82" s="330">
        <v>43138.471412037034</v>
      </c>
      <c r="BH82" t="str">
        <f>VLOOKUP(B:B,výpočty!$Z$246:$Z$515,1,FALSE)</f>
        <v>R95830</v>
      </c>
    </row>
    <row r="83" spans="1:60" x14ac:dyDescent="0.2">
      <c r="A83">
        <v>112002</v>
      </c>
      <c r="B83" t="s">
        <v>571</v>
      </c>
      <c r="C83" t="s">
        <v>1740</v>
      </c>
      <c r="F83">
        <v>0</v>
      </c>
      <c r="G83">
        <v>222</v>
      </c>
      <c r="H83">
        <v>0</v>
      </c>
      <c r="I83">
        <v>0</v>
      </c>
      <c r="J83" t="s">
        <v>1728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1741</v>
      </c>
      <c r="BB83" t="s">
        <v>1742</v>
      </c>
      <c r="BC83" t="s">
        <v>814</v>
      </c>
      <c r="BD83" t="s">
        <v>2056</v>
      </c>
      <c r="BE83" s="330">
        <v>43138.478368055556</v>
      </c>
      <c r="BH83" t="str">
        <f>VLOOKUP(B:B,výpočty!$Z$246:$Z$515,1,FALSE)</f>
        <v>R77089</v>
      </c>
    </row>
    <row r="84" spans="1:60" x14ac:dyDescent="0.2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1728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2056</v>
      </c>
      <c r="BE84" s="330">
        <v>43138.478368055556</v>
      </c>
      <c r="BH84" t="str">
        <f>VLOOKUP(B:B,výpočty!$Z$246:$Z$515,1,FALSE)</f>
        <v>R92821</v>
      </c>
    </row>
    <row r="85" spans="1:60" x14ac:dyDescent="0.2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1728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2056</v>
      </c>
      <c r="BE85" s="330">
        <v>43138.478379629632</v>
      </c>
      <c r="BH85" t="str">
        <f>VLOOKUP(B:B,výpočty!$Z$246:$Z$515,1,FALSE)</f>
        <v>R88301</v>
      </c>
    </row>
    <row r="86" spans="1:60" x14ac:dyDescent="0.2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1728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2056</v>
      </c>
      <c r="BE86" s="330">
        <v>43138.470289351855</v>
      </c>
      <c r="BH86" t="str">
        <f>VLOOKUP(B:B,výpočty!$Z$246:$Z$515,1,FALSE)</f>
        <v>R88208</v>
      </c>
    </row>
    <row r="87" spans="1:60" x14ac:dyDescent="0.2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1728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2056</v>
      </c>
      <c r="BE87" s="330">
        <v>43138.470300925925</v>
      </c>
      <c r="BH87" t="str">
        <f>VLOOKUP(B:B,výpočty!$Z$246:$Z$515,1,FALSE)</f>
        <v>R84084</v>
      </c>
    </row>
    <row r="88" spans="1:60" x14ac:dyDescent="0.2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1728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2056</v>
      </c>
      <c r="BE88" s="330">
        <v>43138.469189814816</v>
      </c>
      <c r="BH88" t="str">
        <f>VLOOKUP(B:B,výpočty!$Z$246:$Z$515,1,FALSE)</f>
        <v>R84085</v>
      </c>
    </row>
    <row r="89" spans="1:60" x14ac:dyDescent="0.2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1728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1746</v>
      </c>
      <c r="BD89" t="s">
        <v>2056</v>
      </c>
      <c r="BE89" s="330">
        <v>43138.469166666669</v>
      </c>
      <c r="BH89" t="str">
        <f>VLOOKUP(B:B,výpočty!$Z$246:$Z$515,1,FALSE)</f>
        <v>R92823</v>
      </c>
    </row>
    <row r="90" spans="1:60" x14ac:dyDescent="0.2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1728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1704</v>
      </c>
      <c r="BD90" t="s">
        <v>2056</v>
      </c>
      <c r="BE90" s="330">
        <v>43138.470289351855</v>
      </c>
      <c r="BH90" t="str">
        <f>VLOOKUP(B:B,výpočty!$Z$246:$Z$515,1,FALSE)</f>
        <v>R92822</v>
      </c>
    </row>
    <row r="91" spans="1:60" x14ac:dyDescent="0.2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1728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2056</v>
      </c>
      <c r="BE91" s="330">
        <v>43138.478379629632</v>
      </c>
      <c r="BH91" t="str">
        <f>VLOOKUP(B:B,výpočty!$Z$246:$Z$515,1,FALSE)</f>
        <v>R92820</v>
      </c>
    </row>
    <row r="92" spans="1:60" x14ac:dyDescent="0.2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1728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2056</v>
      </c>
      <c r="BE92" s="330">
        <v>43138.469178240739</v>
      </c>
      <c r="BH92" t="str">
        <f>VLOOKUP(B:B,výpočty!$Z$246:$Z$515,1,FALSE)</f>
        <v>R84086</v>
      </c>
    </row>
    <row r="93" spans="1:60" x14ac:dyDescent="0.2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1728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2056</v>
      </c>
      <c r="BE93" s="330">
        <v>43138.469131944446</v>
      </c>
      <c r="BH93" t="str">
        <f>VLOOKUP(B:B,výpočty!$Z$246:$Z$515,1,FALSE)</f>
        <v>R95818</v>
      </c>
    </row>
    <row r="94" spans="1:60" x14ac:dyDescent="0.2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1728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2056</v>
      </c>
      <c r="BE94" s="330">
        <v>43138.47828703704</v>
      </c>
      <c r="BH94" t="str">
        <f>VLOOKUP(B:B,výpočty!$Z$246:$Z$515,1,FALSE)</f>
        <v>R88228</v>
      </c>
    </row>
    <row r="95" spans="1:60" x14ac:dyDescent="0.2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1728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2056</v>
      </c>
      <c r="BE95" s="330">
        <v>43138.47828703704</v>
      </c>
      <c r="BH95" t="str">
        <f>VLOOKUP(B:B,výpočty!$Z$246:$Z$515,1,FALSE)</f>
        <v>R77012</v>
      </c>
    </row>
    <row r="96" spans="1:60" x14ac:dyDescent="0.2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1728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2056</v>
      </c>
      <c r="BE96" s="330">
        <v>43138.478275462963</v>
      </c>
      <c r="BH96" t="str">
        <f>VLOOKUP(B:B,výpočty!$Z$246:$Z$515,1,FALSE)</f>
        <v>R92810</v>
      </c>
    </row>
    <row r="97" spans="1:60" x14ac:dyDescent="0.2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1728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2056</v>
      </c>
      <c r="BE97" s="330">
        <v>43138.478275462963</v>
      </c>
      <c r="BH97" t="str">
        <f>VLOOKUP(B:B,výpočty!$Z$246:$Z$515,1,FALSE)</f>
        <v>R88304</v>
      </c>
    </row>
    <row r="98" spans="1:60" x14ac:dyDescent="0.2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1728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2056</v>
      </c>
      <c r="BE98" s="330">
        <v>43138.478402777779</v>
      </c>
      <c r="BH98" t="str">
        <f>VLOOKUP(B:B,výpočty!$Z$246:$Z$515,1,FALSE)</f>
        <v>R92846</v>
      </c>
    </row>
    <row r="99" spans="1:60" x14ac:dyDescent="0.2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1728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2056</v>
      </c>
      <c r="BE99" s="330">
        <v>43138.478402777779</v>
      </c>
      <c r="BH99" t="str">
        <f>VLOOKUP(B:B,výpočty!$Z$246:$Z$515,1,FALSE)</f>
        <v>R92845</v>
      </c>
    </row>
    <row r="100" spans="1:60" x14ac:dyDescent="0.2">
      <c r="A100">
        <v>112002</v>
      </c>
      <c r="B100" t="s">
        <v>556</v>
      </c>
      <c r="C100" t="s">
        <v>2122</v>
      </c>
      <c r="F100">
        <v>0</v>
      </c>
      <c r="G100">
        <v>222</v>
      </c>
      <c r="H100">
        <v>0</v>
      </c>
      <c r="I100">
        <v>0</v>
      </c>
      <c r="J100" t="s">
        <v>1728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2123</v>
      </c>
      <c r="AQ100" t="s">
        <v>767</v>
      </c>
      <c r="AR100" t="s">
        <v>767</v>
      </c>
      <c r="AS100" t="s">
        <v>767</v>
      </c>
      <c r="AZ100">
        <v>0</v>
      </c>
      <c r="BA100" t="s">
        <v>1734</v>
      </c>
      <c r="BB100" t="s">
        <v>2124</v>
      </c>
      <c r="BC100" t="s">
        <v>786</v>
      </c>
      <c r="BD100" t="s">
        <v>2059</v>
      </c>
      <c r="BE100" s="330">
        <v>43348.379606481481</v>
      </c>
      <c r="BH100" t="str">
        <f>VLOOKUP(B:B,výpočty!$Z$246:$Z$515,1,FALSE)</f>
        <v>R00058</v>
      </c>
    </row>
    <row r="101" spans="1:60" x14ac:dyDescent="0.2">
      <c r="A101">
        <v>112002</v>
      </c>
      <c r="B101" t="s">
        <v>555</v>
      </c>
      <c r="C101" t="s">
        <v>2121</v>
      </c>
      <c r="F101">
        <v>0</v>
      </c>
      <c r="G101">
        <v>222</v>
      </c>
      <c r="H101">
        <v>0</v>
      </c>
      <c r="I101">
        <v>0</v>
      </c>
      <c r="J101" t="s">
        <v>1728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2087</v>
      </c>
      <c r="BE101" s="330">
        <v>43328.337708333333</v>
      </c>
      <c r="BH101" t="str">
        <f>VLOOKUP(B:B,výpočty!$Z$246:$Z$515,1,FALSE)</f>
        <v>R92843</v>
      </c>
    </row>
    <row r="102" spans="1:60" x14ac:dyDescent="0.2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1728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2056</v>
      </c>
      <c r="BE102" s="330">
        <v>43138.469270833331</v>
      </c>
      <c r="BH102" t="str">
        <f>VLOOKUP(B:B,výpočty!$Z$246:$Z$515,1,FALSE)</f>
        <v>R84095</v>
      </c>
    </row>
    <row r="103" spans="1:60" x14ac:dyDescent="0.2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1728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1860</v>
      </c>
      <c r="BB103" t="s">
        <v>1396</v>
      </c>
      <c r="BC103" t="s">
        <v>1859</v>
      </c>
      <c r="BD103" t="s">
        <v>2056</v>
      </c>
      <c r="BE103" s="330">
        <v>43138.478460648148</v>
      </c>
      <c r="BH103" t="str">
        <f>VLOOKUP(B:B,výpočty!$Z$246:$Z$515,1,FALSE)</f>
        <v>R84093</v>
      </c>
    </row>
    <row r="104" spans="1:60" x14ac:dyDescent="0.2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1728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1743</v>
      </c>
      <c r="BB104" t="s">
        <v>1397</v>
      </c>
      <c r="BC104" t="s">
        <v>850</v>
      </c>
      <c r="BD104" t="s">
        <v>2056</v>
      </c>
      <c r="BE104" s="330">
        <v>43138.478472222225</v>
      </c>
      <c r="BH104" t="str">
        <f>VLOOKUP(B:B,výpočty!$Z$246:$Z$515,1,FALSE)</f>
        <v>R84094</v>
      </c>
    </row>
    <row r="105" spans="1:60" x14ac:dyDescent="0.2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1728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2056</v>
      </c>
      <c r="BE105" s="330">
        <v>43138.470381944448</v>
      </c>
      <c r="BH105" t="str">
        <f>VLOOKUP(B:B,výpočty!$Z$246:$Z$515,1,FALSE)</f>
        <v>R84096</v>
      </c>
    </row>
    <row r="106" spans="1:60" x14ac:dyDescent="0.2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1728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2056</v>
      </c>
      <c r="BE106" s="330">
        <v>43138.469282407408</v>
      </c>
      <c r="BH106" t="str">
        <f>VLOOKUP(B:B,výpočty!$Z$246:$Z$515,1,FALSE)</f>
        <v>R96940</v>
      </c>
    </row>
    <row r="107" spans="1:60" x14ac:dyDescent="0.2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1728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2056</v>
      </c>
      <c r="BE107" s="330">
        <v>43138.470173611109</v>
      </c>
      <c r="BH107" t="str">
        <f>VLOOKUP(B:B,výpočty!$Z$246:$Z$515,1,FALSE)</f>
        <v>R80202</v>
      </c>
    </row>
    <row r="108" spans="1:60" x14ac:dyDescent="0.2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1728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2056</v>
      </c>
      <c r="BE108" s="330">
        <v>43138.470173611109</v>
      </c>
      <c r="BH108" t="str">
        <f>VLOOKUP(B:B,výpočty!$Z$246:$Z$515,1,FALSE)</f>
        <v>R84080</v>
      </c>
    </row>
    <row r="109" spans="1:60" x14ac:dyDescent="0.2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1728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2056</v>
      </c>
      <c r="BE109" s="330">
        <v>43138.478263888886</v>
      </c>
      <c r="BH109" t="str">
        <f>VLOOKUP(B:B,výpočty!$Z$246:$Z$515,1,FALSE)</f>
        <v>R88265</v>
      </c>
    </row>
    <row r="110" spans="1:60" x14ac:dyDescent="0.2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1728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2056</v>
      </c>
      <c r="BE110" s="330">
        <v>43138.469050925924</v>
      </c>
      <c r="BH110" t="str">
        <f>VLOOKUP(B:B,výpočty!$Z$246:$Z$515,1,FALSE)</f>
        <v>R88226</v>
      </c>
    </row>
    <row r="111" spans="1:60" x14ac:dyDescent="0.2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1728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2056</v>
      </c>
      <c r="BE111" s="330">
        <v>43138.478275462963</v>
      </c>
      <c r="BH111" t="str">
        <f>VLOOKUP(B:B,výpočty!$Z$246:$Z$515,1,FALSE)</f>
        <v>R77011</v>
      </c>
    </row>
    <row r="112" spans="1:60" x14ac:dyDescent="0.2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1728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2056</v>
      </c>
      <c r="BE112" s="330">
        <v>43138.478252314817</v>
      </c>
      <c r="BH112" t="str">
        <f>VLOOKUP(B:B,výpočty!$Z$246:$Z$515,1,FALSE)</f>
        <v>R88309</v>
      </c>
    </row>
    <row r="113" spans="1:60" x14ac:dyDescent="0.2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1728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2056</v>
      </c>
      <c r="BE113" s="330">
        <v>43138.471365740741</v>
      </c>
      <c r="BH113" t="str">
        <f>VLOOKUP(B:B,výpočty!$Z$246:$Z$515,1,FALSE)</f>
        <v>R84081</v>
      </c>
    </row>
    <row r="114" spans="1:60" x14ac:dyDescent="0.2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1728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2116</v>
      </c>
      <c r="AZ114">
        <v>0</v>
      </c>
      <c r="BA114" t="s">
        <v>860</v>
      </c>
      <c r="BB114" t="s">
        <v>1401</v>
      </c>
      <c r="BC114" t="s">
        <v>859</v>
      </c>
      <c r="BD114" t="s">
        <v>2056</v>
      </c>
      <c r="BE114" s="330">
        <v>43138.47016203704</v>
      </c>
      <c r="BH114" t="str">
        <f>VLOOKUP(B:B,výpočty!$Z$246:$Z$515,1,FALSE)</f>
        <v>R88197</v>
      </c>
    </row>
    <row r="115" spans="1:60" x14ac:dyDescent="0.2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1728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2056</v>
      </c>
      <c r="BE115" s="330">
        <v>43138.4690625</v>
      </c>
      <c r="BH115" t="str">
        <f>VLOOKUP(B:B,výpočty!$Z$246:$Z$515,1,FALSE)</f>
        <v>R92856</v>
      </c>
    </row>
    <row r="116" spans="1:60" x14ac:dyDescent="0.2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1728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2056</v>
      </c>
      <c r="BE116" s="330">
        <v>43138.478263888886</v>
      </c>
      <c r="BH116" t="str">
        <f>VLOOKUP(B:B,výpočty!$Z$246:$Z$515,1,FALSE)</f>
        <v>R92827</v>
      </c>
    </row>
    <row r="117" spans="1:60" x14ac:dyDescent="0.2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1728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1730</v>
      </c>
      <c r="BB117" t="s">
        <v>1344</v>
      </c>
      <c r="BC117" t="s">
        <v>654</v>
      </c>
      <c r="BD117" t="s">
        <v>2056</v>
      </c>
      <c r="BE117" s="330">
        <v>43138.470185185186</v>
      </c>
      <c r="BH117" t="str">
        <f>VLOOKUP(B:B,výpočty!$Z$246:$Z$515,1,FALSE)</f>
        <v>R00012</v>
      </c>
    </row>
    <row r="118" spans="1:60" x14ac:dyDescent="0.2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1728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1729</v>
      </c>
      <c r="BB118" t="s">
        <v>1343</v>
      </c>
      <c r="BC118" t="s">
        <v>652</v>
      </c>
      <c r="BD118" t="s">
        <v>2056</v>
      </c>
      <c r="BE118" s="330">
        <v>43138.469074074077</v>
      </c>
      <c r="BH118" t="str">
        <f>VLOOKUP(B:B,výpočty!$Z$246:$Z$515,1,FALSE)</f>
        <v>R00011</v>
      </c>
    </row>
    <row r="119" spans="1:60" x14ac:dyDescent="0.2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1728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2056</v>
      </c>
      <c r="BE119" s="330">
        <v>43138.471377314818</v>
      </c>
      <c r="BH119" t="str">
        <f>VLOOKUP(B:B,výpočty!$Z$246:$Z$515,1,FALSE)</f>
        <v>R88218</v>
      </c>
    </row>
    <row r="120" spans="1:60" x14ac:dyDescent="0.2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1728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2056</v>
      </c>
      <c r="BE120" s="330">
        <v>43138.471377314818</v>
      </c>
      <c r="BH120" t="str">
        <f>VLOOKUP(B:B,výpočty!$Z$246:$Z$515,1,FALSE)</f>
        <v>R92834</v>
      </c>
    </row>
    <row r="121" spans="1:60" x14ac:dyDescent="0.2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2056</v>
      </c>
      <c r="BE121" s="330">
        <v>43138.474317129629</v>
      </c>
      <c r="BH121" t="str">
        <f>VLOOKUP(B:B,výpočty!$Z$246:$Z$515,1,FALSE)</f>
        <v>R92802</v>
      </c>
    </row>
    <row r="122" spans="1:60" x14ac:dyDescent="0.2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2056</v>
      </c>
      <c r="BE122" s="330">
        <v>43138.469189814816</v>
      </c>
      <c r="BH122" t="str">
        <f>VLOOKUP(B:B,výpočty!$Z$246:$Z$515,1,FALSE)</f>
        <v>R88302</v>
      </c>
    </row>
    <row r="123" spans="1:60" x14ac:dyDescent="0.2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2056</v>
      </c>
      <c r="BE123" s="330">
        <v>43138.469201388885</v>
      </c>
      <c r="BH123" t="str">
        <f>VLOOKUP(B:B,výpočty!$Z$246:$Z$515,1,FALSE)</f>
        <v>R92804</v>
      </c>
    </row>
    <row r="124" spans="1:60" x14ac:dyDescent="0.2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2056</v>
      </c>
      <c r="BE124" s="330">
        <v>43138.478391203702</v>
      </c>
      <c r="BH124" t="str">
        <f>VLOOKUP(B:B,výpočty!$Z$246:$Z$515,1,FALSE)</f>
        <v>R84087</v>
      </c>
    </row>
    <row r="125" spans="1:60" x14ac:dyDescent="0.2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2056</v>
      </c>
      <c r="BE125" s="330">
        <v>43138.478391203702</v>
      </c>
      <c r="BH125" t="str">
        <f>VLOOKUP(B:B,výpočty!$Z$246:$Z$515,1,FALSE)</f>
        <v>R84090</v>
      </c>
    </row>
    <row r="126" spans="1:60" x14ac:dyDescent="0.2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1744</v>
      </c>
      <c r="BD126" t="s">
        <v>2056</v>
      </c>
      <c r="BE126" s="330">
        <v>43138.474293981482</v>
      </c>
      <c r="BH126" t="str">
        <f>VLOOKUP(B:B,výpočty!$Z$246:$Z$515,1,FALSE)</f>
        <v>R88209</v>
      </c>
    </row>
    <row r="127" spans="1:60" x14ac:dyDescent="0.2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1705</v>
      </c>
      <c r="BD127" t="s">
        <v>2056</v>
      </c>
      <c r="BE127" s="330">
        <v>43138.474317129629</v>
      </c>
      <c r="BH127" t="str">
        <f>VLOOKUP(B:B,výpočty!$Z$246:$Z$515,1,FALSE)</f>
        <v>R92801</v>
      </c>
    </row>
    <row r="128" spans="1:60" x14ac:dyDescent="0.2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2056</v>
      </c>
      <c r="BE128" s="330">
        <v>43138.470300925925</v>
      </c>
      <c r="BH128" t="str">
        <f>VLOOKUP(B:B,výpočty!$Z$246:$Z$515,1,FALSE)</f>
        <v>R92803</v>
      </c>
    </row>
    <row r="129" spans="1:60" x14ac:dyDescent="0.2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2056</v>
      </c>
      <c r="BE129" s="330">
        <v>43138.470312500001</v>
      </c>
      <c r="BH129" t="str">
        <f>VLOOKUP(B:B,výpočty!$Z$246:$Z$515,1,FALSE)</f>
        <v>R84091</v>
      </c>
    </row>
    <row r="130" spans="1:60" x14ac:dyDescent="0.2">
      <c r="A130">
        <v>112002</v>
      </c>
      <c r="B130" t="s">
        <v>537</v>
      </c>
      <c r="C130" t="s">
        <v>1747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1748</v>
      </c>
      <c r="BB130" t="s">
        <v>1437</v>
      </c>
      <c r="BC130" t="s">
        <v>958</v>
      </c>
      <c r="BD130" t="s">
        <v>2056</v>
      </c>
      <c r="BE130" s="330">
        <v>43138.474328703705</v>
      </c>
      <c r="BH130" t="str">
        <f>VLOOKUP(B:B,výpočty!$Z$246:$Z$515,1,FALSE)</f>
        <v>R92831</v>
      </c>
    </row>
    <row r="131" spans="1:60" x14ac:dyDescent="0.2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1764</v>
      </c>
      <c r="BC131" t="s">
        <v>1015</v>
      </c>
      <c r="BD131" t="s">
        <v>2056</v>
      </c>
      <c r="BE131" s="330">
        <v>43138.470335648148</v>
      </c>
      <c r="BH131" t="str">
        <f>VLOOKUP(B:B,výpočty!$Z$246:$Z$515,1,FALSE)</f>
        <v>R95590</v>
      </c>
    </row>
    <row r="132" spans="1:60" x14ac:dyDescent="0.2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2056</v>
      </c>
      <c r="BE132" s="330">
        <v>43138.469212962962</v>
      </c>
      <c r="BH132" t="str">
        <f>VLOOKUP(B:B,výpočty!$Z$246:$Z$515,1,FALSE)</f>
        <v>R96219</v>
      </c>
    </row>
    <row r="133" spans="1:60" x14ac:dyDescent="0.2">
      <c r="A133">
        <v>112002</v>
      </c>
      <c r="B133" t="s">
        <v>790</v>
      </c>
      <c r="C133" t="s">
        <v>1735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2115</v>
      </c>
      <c r="AQ133" t="s">
        <v>767</v>
      </c>
      <c r="AR133" t="s">
        <v>767</v>
      </c>
      <c r="AS133" t="s">
        <v>767</v>
      </c>
      <c r="AZ133">
        <v>0</v>
      </c>
      <c r="BA133" t="s">
        <v>1736</v>
      </c>
      <c r="BB133" t="s">
        <v>792</v>
      </c>
      <c r="BC133" t="s">
        <v>791</v>
      </c>
      <c r="BD133" t="s">
        <v>2056</v>
      </c>
      <c r="BE133" s="330">
        <v>43138.430613425924</v>
      </c>
      <c r="BH133" t="str">
        <f>VLOOKUP(B:B,výpočty!$Z$246:$Z$515,1,FALSE)</f>
        <v>R00060</v>
      </c>
    </row>
    <row r="134" spans="1:60" x14ac:dyDescent="0.2">
      <c r="A134">
        <v>112002</v>
      </c>
      <c r="B134" t="s">
        <v>596</v>
      </c>
      <c r="C134" t="s">
        <v>1745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2118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2056</v>
      </c>
      <c r="BE134" s="330">
        <v>43138.470324074071</v>
      </c>
      <c r="BH134" t="str">
        <f>VLOOKUP(B:B,výpočty!$Z$246:$Z$515,1,FALSE)</f>
        <v>R88329</v>
      </c>
    </row>
    <row r="135" spans="1:60" x14ac:dyDescent="0.2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2056</v>
      </c>
      <c r="BE135" s="330">
        <v>43138.47042824074</v>
      </c>
      <c r="BH135" t="str">
        <f>VLOOKUP(B:B,výpočty!$Z$246:$Z$515,1,FALSE)</f>
        <v>R95879</v>
      </c>
    </row>
    <row r="136" spans="1:60" x14ac:dyDescent="0.2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1728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2056</v>
      </c>
      <c r="BE136" s="330">
        <v>43138.469317129631</v>
      </c>
      <c r="BH136" t="str">
        <f>VLOOKUP(B:B,výpočty!$Z$246:$Z$515,1,FALSE)</f>
        <v>R96087</v>
      </c>
    </row>
    <row r="137" spans="1:60" x14ac:dyDescent="0.2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1728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1770</v>
      </c>
      <c r="BB137" t="s">
        <v>1499</v>
      </c>
      <c r="BC137" t="s">
        <v>1133</v>
      </c>
      <c r="BD137" t="s">
        <v>2056</v>
      </c>
      <c r="BE137" s="330">
        <v>43138.469305555554</v>
      </c>
      <c r="BH137" t="str">
        <f>VLOOKUP(B:B,výpočty!$Z$246:$Z$515,1,FALSE)</f>
        <v>R96082</v>
      </c>
    </row>
    <row r="138" spans="1:60" x14ac:dyDescent="0.2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1728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1862</v>
      </c>
      <c r="BB138" t="s">
        <v>1497</v>
      </c>
      <c r="BC138" t="s">
        <v>1129</v>
      </c>
      <c r="BD138" t="s">
        <v>2056</v>
      </c>
      <c r="BE138" s="330">
        <v>43138.469305555554</v>
      </c>
      <c r="BH138" t="str">
        <f>VLOOKUP(B:B,výpočty!$Z$246:$Z$515,1,FALSE)</f>
        <v>R96080</v>
      </c>
    </row>
    <row r="139" spans="1:60" x14ac:dyDescent="0.2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1728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1769</v>
      </c>
      <c r="BB139" t="s">
        <v>1498</v>
      </c>
      <c r="BC139" t="s">
        <v>1131</v>
      </c>
      <c r="BD139" t="s">
        <v>2056</v>
      </c>
      <c r="BE139" s="330">
        <v>43138.470416666663</v>
      </c>
      <c r="BH139" t="str">
        <f>VLOOKUP(B:B,výpočty!$Z$246:$Z$515,1,FALSE)</f>
        <v>R96081</v>
      </c>
    </row>
    <row r="140" spans="1:60" x14ac:dyDescent="0.2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1728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1707</v>
      </c>
      <c r="BD140" t="s">
        <v>2056</v>
      </c>
      <c r="BE140" s="330">
        <v>43138.474444444444</v>
      </c>
      <c r="BH140" t="str">
        <f>VLOOKUP(B:B,výpočty!$Z$246:$Z$515,1,FALSE)</f>
        <v>R96083</v>
      </c>
    </row>
    <row r="141" spans="1:60" x14ac:dyDescent="0.2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1728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1766</v>
      </c>
      <c r="BB141" t="s">
        <v>1492</v>
      </c>
      <c r="BC141" t="s">
        <v>1115</v>
      </c>
      <c r="BD141" t="s">
        <v>2056</v>
      </c>
      <c r="BE141" s="330">
        <v>43138.474409722221</v>
      </c>
      <c r="BH141" t="str">
        <f>VLOOKUP(B:B,výpočty!$Z$246:$Z$515,1,FALSE)</f>
        <v>R96073</v>
      </c>
    </row>
    <row r="142" spans="1:60" x14ac:dyDescent="0.2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1728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1858</v>
      </c>
      <c r="BB142" t="s">
        <v>1490</v>
      </c>
      <c r="BC142" t="s">
        <v>1111</v>
      </c>
      <c r="BD142" t="s">
        <v>2056</v>
      </c>
      <c r="BE142" s="330">
        <v>43138.469247685185</v>
      </c>
      <c r="BH142" t="str">
        <f>VLOOKUP(B:B,výpočty!$Z$246:$Z$515,1,FALSE)</f>
        <v>R96071</v>
      </c>
    </row>
    <row r="143" spans="1:60" x14ac:dyDescent="0.2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1728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2056</v>
      </c>
      <c r="BE143" s="330">
        <v>43138.469259259262</v>
      </c>
      <c r="BH143" t="str">
        <f>VLOOKUP(B:B,výpočty!$Z$246:$Z$515,1,FALSE)</f>
        <v>R96078</v>
      </c>
    </row>
    <row r="144" spans="1:60" x14ac:dyDescent="0.2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1728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1765</v>
      </c>
      <c r="BB144" t="s">
        <v>1491</v>
      </c>
      <c r="BC144" t="s">
        <v>1113</v>
      </c>
      <c r="BD144" t="s">
        <v>2056</v>
      </c>
      <c r="BE144" s="330">
        <v>43138.474398148152</v>
      </c>
      <c r="BH144" t="str">
        <f>VLOOKUP(B:B,výpočty!$Z$246:$Z$515,1,FALSE)</f>
        <v>R96072</v>
      </c>
    </row>
    <row r="145" spans="1:60" x14ac:dyDescent="0.2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1728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2056</v>
      </c>
      <c r="BE145" s="330">
        <v>43138.474409722221</v>
      </c>
      <c r="BH145" t="str">
        <f>VLOOKUP(B:B,výpočty!$Z$246:$Z$515,1,FALSE)</f>
        <v>R96074</v>
      </c>
    </row>
    <row r="146" spans="1:60" x14ac:dyDescent="0.2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1728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1754</v>
      </c>
      <c r="BB146" t="s">
        <v>1466</v>
      </c>
      <c r="BC146" t="s">
        <v>1056</v>
      </c>
      <c r="BD146" t="s">
        <v>2056</v>
      </c>
      <c r="BE146" s="330">
        <v>43138.478321759256</v>
      </c>
      <c r="BH146" t="str">
        <f>VLOOKUP(B:B,výpočty!$Z$246:$Z$515,1,FALSE)</f>
        <v>R95826</v>
      </c>
    </row>
    <row r="147" spans="1:60" x14ac:dyDescent="0.2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1728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1732</v>
      </c>
      <c r="BB147" t="s">
        <v>1365</v>
      </c>
      <c r="BC147" t="s">
        <v>717</v>
      </c>
      <c r="BD147" t="s">
        <v>2056</v>
      </c>
      <c r="BE147" s="330">
        <v>43138.478321759256</v>
      </c>
      <c r="BH147" t="str">
        <f>VLOOKUP(B:B,výpočty!$Z$246:$Z$515,1,FALSE)</f>
        <v>R00033</v>
      </c>
    </row>
    <row r="148" spans="1:60" x14ac:dyDescent="0.2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1728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2056</v>
      </c>
      <c r="BE148" s="330">
        <v>43138.46912037037</v>
      </c>
      <c r="BH148" t="str">
        <f>VLOOKUP(B:B,výpočty!$Z$246:$Z$515,1,FALSE)</f>
        <v>R95823</v>
      </c>
    </row>
    <row r="149" spans="1:60" x14ac:dyDescent="0.2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1728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2059</v>
      </c>
      <c r="BE149" s="330">
        <v>43252.379432870373</v>
      </c>
      <c r="BH149" t="str">
        <f>VLOOKUP(B:B,výpočty!$Z$246:$Z$515,1,FALSE)</f>
        <v>R00064</v>
      </c>
    </row>
    <row r="150" spans="1:60" x14ac:dyDescent="0.2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1728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2056</v>
      </c>
      <c r="BE150" s="330">
        <v>43138.470243055555</v>
      </c>
      <c r="BH150" t="str">
        <f>VLOOKUP(B:B,výpočty!$Z$246:$Z$515,1,FALSE)</f>
        <v>R95827</v>
      </c>
    </row>
    <row r="151" spans="1:60" x14ac:dyDescent="0.2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1728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1752</v>
      </c>
      <c r="BB151" t="s">
        <v>1461</v>
      </c>
      <c r="BC151" t="s">
        <v>1046</v>
      </c>
      <c r="BD151" t="s">
        <v>2056</v>
      </c>
      <c r="BE151" s="330">
        <v>43138.471412037034</v>
      </c>
      <c r="BH151" t="str">
        <f>VLOOKUP(B:B,výpočty!$Z$246:$Z$515,1,FALSE)</f>
        <v>R95821</v>
      </c>
    </row>
    <row r="152" spans="1:60" x14ac:dyDescent="0.2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1728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1733</v>
      </c>
      <c r="BB152" t="s">
        <v>1366</v>
      </c>
      <c r="BC152" t="s">
        <v>719</v>
      </c>
      <c r="BD152" t="s">
        <v>2056</v>
      </c>
      <c r="BE152" s="330">
        <v>43138.478333333333</v>
      </c>
      <c r="BH152" t="str">
        <f>VLOOKUP(B:B,výpočty!$Z$246:$Z$515,1,FALSE)</f>
        <v>R00034</v>
      </c>
    </row>
    <row r="153" spans="1:60" x14ac:dyDescent="0.2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1728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2056</v>
      </c>
      <c r="BE153" s="330">
        <v>43138.46912037037</v>
      </c>
      <c r="BH153" t="str">
        <f>VLOOKUP(B:B,výpočty!$Z$246:$Z$515,1,FALSE)</f>
        <v>R95825</v>
      </c>
    </row>
    <row r="154" spans="1:60" x14ac:dyDescent="0.2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1728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2056</v>
      </c>
      <c r="BE154" s="330">
        <v>43138.478321759256</v>
      </c>
      <c r="BH154" t="str">
        <f>VLOOKUP(B:B,výpočty!$Z$246:$Z$515,1,FALSE)</f>
        <v>R95828</v>
      </c>
    </row>
    <row r="155" spans="1:60" x14ac:dyDescent="0.2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1728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1753</v>
      </c>
      <c r="BB155" t="s">
        <v>1462</v>
      </c>
      <c r="BC155" t="s">
        <v>1048</v>
      </c>
      <c r="BD155" t="s">
        <v>2056</v>
      </c>
      <c r="BE155" s="330">
        <v>43138.47142361111</v>
      </c>
      <c r="BH155" t="str">
        <f>VLOOKUP(B:B,výpočty!$Z$246:$Z$515,1,FALSE)</f>
        <v>R95822</v>
      </c>
    </row>
    <row r="156" spans="1:60" x14ac:dyDescent="0.2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1728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2056</v>
      </c>
      <c r="BE156" s="330">
        <v>43138.478333333333</v>
      </c>
      <c r="BH156" t="str">
        <f>VLOOKUP(B:B,výpočty!$Z$246:$Z$515,1,FALSE)</f>
        <v>R95829</v>
      </c>
    </row>
    <row r="157" spans="1:60" x14ac:dyDescent="0.2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1728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2056</v>
      </c>
      <c r="BE157" s="330">
        <v>43138.470231481479</v>
      </c>
      <c r="BH157" t="str">
        <f>VLOOKUP(B:B,výpočty!$Z$246:$Z$515,1,FALSE)</f>
        <v>R95824</v>
      </c>
    </row>
    <row r="158" spans="1:60" x14ac:dyDescent="0.2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1728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2056</v>
      </c>
      <c r="BE158" s="330">
        <v>43138.470254629632</v>
      </c>
      <c r="BH158" t="str">
        <f>VLOOKUP(B:B,výpočty!$Z$246:$Z$515,1,FALSE)</f>
        <v>R95834</v>
      </c>
    </row>
    <row r="159" spans="1:60" x14ac:dyDescent="0.2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1728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2056</v>
      </c>
      <c r="BE159" s="330">
        <v>43138.433611111112</v>
      </c>
      <c r="BH159" t="str">
        <f>VLOOKUP(B:B,výpočty!$Z$246:$Z$515,1,FALSE)</f>
        <v>R00065</v>
      </c>
    </row>
    <row r="160" spans="1:60" x14ac:dyDescent="0.2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1728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2117</v>
      </c>
      <c r="AQ160" t="s">
        <v>767</v>
      </c>
      <c r="AR160" t="s">
        <v>767</v>
      </c>
      <c r="AS160" t="s">
        <v>767</v>
      </c>
      <c r="AZ160">
        <v>0</v>
      </c>
      <c r="BA160" t="s">
        <v>1756</v>
      </c>
      <c r="BB160" t="s">
        <v>1475</v>
      </c>
      <c r="BC160" t="s">
        <v>1076</v>
      </c>
      <c r="BD160" t="s">
        <v>2056</v>
      </c>
      <c r="BE160" s="330">
        <v>43138.47142361111</v>
      </c>
      <c r="BH160" t="str">
        <f>VLOOKUP(B:B,výpočty!$Z$246:$Z$515,1,FALSE)</f>
        <v>R95835</v>
      </c>
    </row>
    <row r="161" spans="1:60" x14ac:dyDescent="0.2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1728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1850</v>
      </c>
      <c r="BB161" t="s">
        <v>1472</v>
      </c>
      <c r="BC161" t="s">
        <v>1071</v>
      </c>
      <c r="BD161" t="s">
        <v>2056</v>
      </c>
      <c r="BE161" s="330">
        <v>43138.470254629632</v>
      </c>
      <c r="BH161" t="str">
        <f>VLOOKUP(B:B,výpočty!$Z$246:$Z$515,1,FALSE)</f>
        <v>R95832</v>
      </c>
    </row>
    <row r="162" spans="1:60" x14ac:dyDescent="0.2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1728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2056</v>
      </c>
      <c r="BE162" s="330">
        <v>43138.470266203702</v>
      </c>
      <c r="BH162" t="str">
        <f>VLOOKUP(B:B,výpočty!$Z$246:$Z$515,1,FALSE)</f>
        <v>R95839</v>
      </c>
    </row>
    <row r="163" spans="1:60" x14ac:dyDescent="0.2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1728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1755</v>
      </c>
      <c r="BB163" t="s">
        <v>1473</v>
      </c>
      <c r="BC163" t="s">
        <v>1073</v>
      </c>
      <c r="BD163" t="s">
        <v>2056</v>
      </c>
      <c r="BE163" s="330">
        <v>43138.469131944446</v>
      </c>
      <c r="BH163" t="str">
        <f>VLOOKUP(B:B,výpočty!$Z$246:$Z$515,1,FALSE)</f>
        <v>R95833</v>
      </c>
    </row>
    <row r="164" spans="1:60" x14ac:dyDescent="0.2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1728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2056</v>
      </c>
      <c r="BE164" s="330">
        <v>43138.469131944446</v>
      </c>
      <c r="BH164" t="str">
        <f>VLOOKUP(B:B,výpočty!$Z$246:$Z$515,1,FALSE)</f>
        <v>R95816</v>
      </c>
    </row>
    <row r="165" spans="1:60" x14ac:dyDescent="0.2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1728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2056</v>
      </c>
      <c r="BE165" s="330">
        <v>43138.470393518517</v>
      </c>
      <c r="BH165" t="str">
        <f>VLOOKUP(B:B,výpočty!$Z$246:$Z$515,1,FALSE)</f>
        <v>R95795</v>
      </c>
    </row>
    <row r="166" spans="1:60" x14ac:dyDescent="0.2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1728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2056</v>
      </c>
      <c r="BE166" s="330">
        <v>43138.474432870367</v>
      </c>
      <c r="BH166" t="str">
        <f>VLOOKUP(B:B,výpočty!$Z$246:$Z$515,1,FALSE)</f>
        <v>R95793</v>
      </c>
    </row>
    <row r="167" spans="1:60" x14ac:dyDescent="0.2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1728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2125</v>
      </c>
      <c r="AQ167" t="s">
        <v>767</v>
      </c>
      <c r="AR167" t="s">
        <v>767</v>
      </c>
      <c r="AS167" t="s">
        <v>767</v>
      </c>
      <c r="AZ167">
        <v>0</v>
      </c>
      <c r="BA167" t="s">
        <v>1861</v>
      </c>
      <c r="BB167" t="s">
        <v>1452</v>
      </c>
      <c r="BC167" t="s">
        <v>1021</v>
      </c>
      <c r="BD167" t="s">
        <v>2056</v>
      </c>
      <c r="BE167" s="330">
        <v>43138.474432870367</v>
      </c>
      <c r="BH167" t="str">
        <f>VLOOKUP(B:B,výpočty!$Z$246:$Z$515,1,FALSE)</f>
        <v>R95794</v>
      </c>
    </row>
    <row r="168" spans="1:60" x14ac:dyDescent="0.2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1728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2056</v>
      </c>
      <c r="BE168" s="330">
        <v>43138.469317129631</v>
      </c>
      <c r="BH168" t="str">
        <f>VLOOKUP(B:B,výpočty!$Z$246:$Z$515,1,FALSE)</f>
        <v>R92842</v>
      </c>
    </row>
    <row r="169" spans="1:60" x14ac:dyDescent="0.2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1728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2056</v>
      </c>
      <c r="BE169" s="330">
        <v>43138.470405092594</v>
      </c>
      <c r="BH169" t="str">
        <f>VLOOKUP(B:B,výpočty!$Z$246:$Z$515,1,FALSE)</f>
        <v>R95820</v>
      </c>
    </row>
    <row r="170" spans="1:60" x14ac:dyDescent="0.2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1728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2056</v>
      </c>
      <c r="BE170" s="330">
        <v>43138.470416666663</v>
      </c>
      <c r="BH170" t="str">
        <f>VLOOKUP(B:B,výpočty!$Z$246:$Z$515,1,FALSE)</f>
        <v>R92841</v>
      </c>
    </row>
    <row r="171" spans="1:60" x14ac:dyDescent="0.2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1728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2056</v>
      </c>
      <c r="BE171" s="330">
        <v>43138.433622685188</v>
      </c>
      <c r="BH171" t="str">
        <f>VLOOKUP(B:B,výpočty!$Z$246:$Z$515,1,FALSE)</f>
        <v>R00066</v>
      </c>
    </row>
    <row r="172" spans="1:60" x14ac:dyDescent="0.2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1728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2056</v>
      </c>
      <c r="BE172" s="330">
        <v>43138.478472222225</v>
      </c>
      <c r="BH172" t="str">
        <f>VLOOKUP(B:B,výpočty!$Z$246:$Z$515,1,FALSE)</f>
        <v>R92811</v>
      </c>
    </row>
    <row r="173" spans="1:60" x14ac:dyDescent="0.2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1728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2056</v>
      </c>
      <c r="BE173" s="330">
        <v>43138.478483796294</v>
      </c>
      <c r="BH173" t="str">
        <f>VLOOKUP(B:B,výpočty!$Z$246:$Z$515,1,FALSE)</f>
        <v>R84082</v>
      </c>
    </row>
    <row r="174" spans="1:60" x14ac:dyDescent="0.2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1728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2056</v>
      </c>
      <c r="BE174" s="330">
        <v>43138.469282407408</v>
      </c>
      <c r="BH174" t="str">
        <f>VLOOKUP(B:B,výpočty!$Z$246:$Z$515,1,FALSE)</f>
        <v>R95796</v>
      </c>
    </row>
    <row r="175" spans="1:60" x14ac:dyDescent="0.2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1728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2056</v>
      </c>
      <c r="BE175" s="330">
        <v>43138.469282407408</v>
      </c>
      <c r="BH175" t="str">
        <f>VLOOKUP(B:B,výpočty!$Z$246:$Z$515,1,FALSE)</f>
        <v>R92819</v>
      </c>
    </row>
    <row r="176" spans="1:60" x14ac:dyDescent="0.2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1728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2056</v>
      </c>
      <c r="BE176" s="330">
        <v>43138.478495370371</v>
      </c>
      <c r="BH176" t="str">
        <f>VLOOKUP(B:B,výpočty!$Z$246:$Z$515,1,FALSE)</f>
        <v>R84083</v>
      </c>
    </row>
    <row r="177" spans="1:60" x14ac:dyDescent="0.2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1728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2056</v>
      </c>
      <c r="BE177" s="330">
        <v>43138.470405092594</v>
      </c>
      <c r="BH177" t="str">
        <f>VLOOKUP(B:B,výpočty!$Z$246:$Z$515,1,FALSE)</f>
        <v>R92879</v>
      </c>
    </row>
    <row r="178" spans="1:60" x14ac:dyDescent="0.2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1728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2056</v>
      </c>
      <c r="BE178" s="330">
        <v>43138.478483796294</v>
      </c>
      <c r="BH178" t="str">
        <f>VLOOKUP(B:B,výpočty!$Z$246:$Z$515,1,FALSE)</f>
        <v>R95797</v>
      </c>
    </row>
    <row r="179" spans="1:60" x14ac:dyDescent="0.2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1728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2056</v>
      </c>
      <c r="BE179" s="330">
        <v>43138.469293981485</v>
      </c>
      <c r="BH179" t="str">
        <f>VLOOKUP(B:B,výpočty!$Z$246:$Z$515,1,FALSE)</f>
        <v>R96228</v>
      </c>
    </row>
    <row r="180" spans="1:60" x14ac:dyDescent="0.2">
      <c r="A180">
        <v>112002</v>
      </c>
      <c r="B180" t="s">
        <v>603</v>
      </c>
      <c r="C180" t="s">
        <v>1854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2055</v>
      </c>
      <c r="AQ180" t="s">
        <v>767</v>
      </c>
      <c r="AR180" t="s">
        <v>767</v>
      </c>
      <c r="AS180" t="s">
        <v>767</v>
      </c>
      <c r="AZ180">
        <v>0</v>
      </c>
      <c r="BA180" t="s">
        <v>1855</v>
      </c>
      <c r="BB180" t="s">
        <v>1481</v>
      </c>
      <c r="BC180" t="s">
        <v>1854</v>
      </c>
      <c r="BD180" t="s">
        <v>2056</v>
      </c>
      <c r="BE180" s="330">
        <v>43138.478344907409</v>
      </c>
      <c r="BH180" t="str">
        <f>VLOOKUP(B:B,výpočty!$Z$246:$Z$515,1,FALSE)</f>
        <v>R95842</v>
      </c>
    </row>
    <row r="181" spans="1:60" x14ac:dyDescent="0.2">
      <c r="A181">
        <v>112002</v>
      </c>
      <c r="B181" t="s">
        <v>604</v>
      </c>
      <c r="C181" t="s">
        <v>1856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2055</v>
      </c>
      <c r="AQ181" t="s">
        <v>767</v>
      </c>
      <c r="AR181" t="s">
        <v>767</v>
      </c>
      <c r="AS181" t="s">
        <v>767</v>
      </c>
      <c r="AZ181">
        <v>0</v>
      </c>
      <c r="BA181" t="s">
        <v>1857</v>
      </c>
      <c r="BB181" t="s">
        <v>1759</v>
      </c>
      <c r="BC181" t="s">
        <v>1856</v>
      </c>
      <c r="BD181" t="s">
        <v>2056</v>
      </c>
      <c r="BE181" s="330">
        <v>43138.478344907409</v>
      </c>
      <c r="BH181" t="str">
        <f>VLOOKUP(B:B,výpočty!$Z$246:$Z$515,1,FALSE)</f>
        <v>R95843</v>
      </c>
    </row>
    <row r="182" spans="1:60" x14ac:dyDescent="0.2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2055</v>
      </c>
      <c r="AQ182" t="s">
        <v>767</v>
      </c>
      <c r="AR182" t="s">
        <v>767</v>
      </c>
      <c r="AS182" t="s">
        <v>767</v>
      </c>
      <c r="AZ182">
        <v>0</v>
      </c>
      <c r="BA182" t="s">
        <v>1852</v>
      </c>
      <c r="BB182" t="s">
        <v>1479</v>
      </c>
      <c r="BC182" t="s">
        <v>1851</v>
      </c>
      <c r="BD182" t="s">
        <v>2056</v>
      </c>
      <c r="BE182" s="330">
        <v>43138.470266203702</v>
      </c>
      <c r="BH182" t="str">
        <f>VLOOKUP(B:B,výpočty!$Z$246:$Z$515,1,FALSE)</f>
        <v>R95840</v>
      </c>
    </row>
    <row r="183" spans="1:60" x14ac:dyDescent="0.2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2055</v>
      </c>
      <c r="AQ183" t="s">
        <v>767</v>
      </c>
      <c r="AR183" t="s">
        <v>767</v>
      </c>
      <c r="AS183" t="s">
        <v>767</v>
      </c>
      <c r="AZ183">
        <v>0</v>
      </c>
      <c r="BA183" t="s">
        <v>1758</v>
      </c>
      <c r="BB183" t="s">
        <v>1480</v>
      </c>
      <c r="BC183" t="s">
        <v>1853</v>
      </c>
      <c r="BD183" t="s">
        <v>2056</v>
      </c>
      <c r="BE183" s="330">
        <v>43138.469143518516</v>
      </c>
      <c r="BH183" t="str">
        <f>VLOOKUP(B:B,výpočty!$Z$246:$Z$515,1,FALSE)</f>
        <v>R95841</v>
      </c>
    </row>
    <row r="184" spans="1:60" x14ac:dyDescent="0.2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2055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2056</v>
      </c>
      <c r="BE184" s="330">
        <v>43138.470277777778</v>
      </c>
      <c r="BH184" t="str">
        <f>VLOOKUP(B:B,výpočty!$Z$246:$Z$515,1,FALSE)</f>
        <v>R95847</v>
      </c>
    </row>
    <row r="185" spans="1:60" x14ac:dyDescent="0.2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2056</v>
      </c>
      <c r="BE185" s="330">
        <v>43138.474479166667</v>
      </c>
      <c r="BH185" t="str">
        <f>VLOOKUP(B:B,výpočty!$Z$246:$Z$515,1,FALSE)</f>
        <v>R00057</v>
      </c>
    </row>
    <row r="186" spans="1:60" x14ac:dyDescent="0.2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2056</v>
      </c>
      <c r="BE186" s="330">
        <v>43138.47446759259</v>
      </c>
      <c r="BH186" t="str">
        <f>VLOOKUP(B:B,výpočty!$Z$246:$Z$515,1,FALSE)</f>
        <v>R00056</v>
      </c>
    </row>
    <row r="187" spans="1:60" x14ac:dyDescent="0.2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2056</v>
      </c>
      <c r="BE187" s="330">
        <v>43138.47446759259</v>
      </c>
      <c r="BH187" t="str">
        <f>VLOOKUP(B:B,výpočty!$Z$246:$Z$515,1,FALSE)</f>
        <v>R00055</v>
      </c>
    </row>
    <row r="188" spans="1:60" x14ac:dyDescent="0.2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2056</v>
      </c>
      <c r="BE188" s="330">
        <v>43138.474456018521</v>
      </c>
      <c r="BH188" t="str">
        <f>VLOOKUP(B:B,výpočty!$Z$246:$Z$515,1,FALSE)</f>
        <v>R00054</v>
      </c>
    </row>
    <row r="189" spans="1:60" x14ac:dyDescent="0.2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1728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2056</v>
      </c>
      <c r="BE189" s="330">
        <v>43138.469224537039</v>
      </c>
      <c r="BH189" t="str">
        <f>VLOOKUP(B:B,výpočty!$Z$246:$Z$515,1,FALSE)</f>
        <v>R92826</v>
      </c>
    </row>
    <row r="190" spans="1:60" x14ac:dyDescent="0.2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1728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2056</v>
      </c>
      <c r="BE190" s="330">
        <v>43138.469224537039</v>
      </c>
      <c r="BH190" t="str">
        <f>VLOOKUP(B:B,výpočty!$Z$246:$Z$515,1,FALSE)</f>
        <v>R96948</v>
      </c>
    </row>
    <row r="191" spans="1:60" x14ac:dyDescent="0.2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1728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2056</v>
      </c>
      <c r="BE191" s="330">
        <v>43138.478425925925</v>
      </c>
      <c r="BH191" t="str">
        <f>VLOOKUP(B:B,výpočty!$Z$246:$Z$515,1,FALSE)</f>
        <v>R88264</v>
      </c>
    </row>
    <row r="192" spans="1:60" x14ac:dyDescent="0.2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1728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1737</v>
      </c>
      <c r="BB192" t="s">
        <v>1553</v>
      </c>
      <c r="BC192" t="s">
        <v>1379</v>
      </c>
      <c r="BD192" t="s">
        <v>2056</v>
      </c>
      <c r="BE192" s="330">
        <v>43138.434062499997</v>
      </c>
      <c r="BH192" t="str">
        <f>VLOOKUP(B:B,výpočty!$Z$246:$Z$515,1,FALSE)</f>
        <v>R00067</v>
      </c>
    </row>
    <row r="193" spans="1:60" x14ac:dyDescent="0.2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1728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1767</v>
      </c>
      <c r="BB193" t="s">
        <v>1506</v>
      </c>
      <c r="BC193" t="s">
        <v>1149</v>
      </c>
      <c r="BD193" t="s">
        <v>2056</v>
      </c>
      <c r="BE193" s="330">
        <v>43138.470381944448</v>
      </c>
      <c r="BH193" t="str">
        <f>VLOOKUP(B:B,výpočty!$Z$246:$Z$515,1,FALSE)</f>
        <v>R96186</v>
      </c>
    </row>
    <row r="194" spans="1:60" x14ac:dyDescent="0.2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1728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2056</v>
      </c>
      <c r="BE194" s="330">
        <v>43138.470370370371</v>
      </c>
      <c r="BH194" t="str">
        <f>VLOOKUP(B:B,výpočty!$Z$246:$Z$515,1,FALSE)</f>
        <v>R95817</v>
      </c>
    </row>
    <row r="195" spans="1:60" x14ac:dyDescent="0.2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1728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2056</v>
      </c>
      <c r="BE195" s="330">
        <v>43138.470335648148</v>
      </c>
      <c r="BH195" t="str">
        <f>VLOOKUP(B:B,výpočty!$Z$246:$Z$515,1,FALSE)</f>
        <v>R88323</v>
      </c>
    </row>
    <row r="196" spans="1:60" x14ac:dyDescent="0.2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1728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2056</v>
      </c>
      <c r="BE196" s="330">
        <v>43138.478437500002</v>
      </c>
      <c r="BH196" t="str">
        <f>VLOOKUP(B:B,výpočty!$Z$246:$Z$515,1,FALSE)</f>
        <v>R77010</v>
      </c>
    </row>
    <row r="197" spans="1:60" x14ac:dyDescent="0.2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1728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2056</v>
      </c>
      <c r="BE197" s="330">
        <v>43138.478414351855</v>
      </c>
      <c r="BH197" t="str">
        <f>VLOOKUP(B:B,výpočty!$Z$246:$Z$515,1,FALSE)</f>
        <v>R88198</v>
      </c>
    </row>
    <row r="198" spans="1:60" x14ac:dyDescent="0.2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1728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2056</v>
      </c>
      <c r="BE198" s="330">
        <v>43138.474374999998</v>
      </c>
      <c r="BH198" t="str">
        <f>VLOOKUP(B:B,výpočty!$Z$246:$Z$515,1,FALSE)</f>
        <v>R96949</v>
      </c>
    </row>
    <row r="199" spans="1:60" x14ac:dyDescent="0.2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1728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2056</v>
      </c>
      <c r="BE199" s="330">
        <v>43138.469212962962</v>
      </c>
      <c r="BH199" t="str">
        <f>VLOOKUP(B:B,výpočty!$Z$246:$Z$515,1,FALSE)</f>
        <v>R88189</v>
      </c>
    </row>
    <row r="200" spans="1:60" x14ac:dyDescent="0.2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1728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2056</v>
      </c>
      <c r="BE200" s="330">
        <v>43138.470347222225</v>
      </c>
      <c r="BH200" t="str">
        <f>VLOOKUP(B:B,výpočty!$Z$246:$Z$515,1,FALSE)</f>
        <v>R92857</v>
      </c>
    </row>
    <row r="201" spans="1:60" x14ac:dyDescent="0.2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1728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2056</v>
      </c>
      <c r="BE201" s="330">
        <v>43138.478425925925</v>
      </c>
      <c r="BH201" t="str">
        <f>VLOOKUP(B:B,výpočty!$Z$246:$Z$515,1,FALSE)</f>
        <v>R92825</v>
      </c>
    </row>
    <row r="202" spans="1:60" x14ac:dyDescent="0.2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1728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2120</v>
      </c>
      <c r="AQ202" t="s">
        <v>767</v>
      </c>
      <c r="AR202" t="s">
        <v>767</v>
      </c>
      <c r="AS202" t="s">
        <v>767</v>
      </c>
      <c r="AZ202">
        <v>0</v>
      </c>
      <c r="BA202" t="s">
        <v>1750</v>
      </c>
      <c r="BB202" t="s">
        <v>1441</v>
      </c>
      <c r="BC202" t="s">
        <v>965</v>
      </c>
      <c r="BD202" t="s">
        <v>2056</v>
      </c>
      <c r="BE202" s="330">
        <v>43138.470370370371</v>
      </c>
      <c r="BH202" t="str">
        <f>VLOOKUP(B:B,výpočty!$Z$246:$Z$515,1,FALSE)</f>
        <v>R92837</v>
      </c>
    </row>
    <row r="203" spans="1:60" x14ac:dyDescent="0.2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1728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2120</v>
      </c>
      <c r="AQ203" t="s">
        <v>767</v>
      </c>
      <c r="AR203" t="s">
        <v>767</v>
      </c>
      <c r="AS203" t="s">
        <v>767</v>
      </c>
      <c r="AZ203">
        <v>0</v>
      </c>
      <c r="BA203" t="s">
        <v>1749</v>
      </c>
      <c r="BB203" t="s">
        <v>1440</v>
      </c>
      <c r="BC203" t="s">
        <v>964</v>
      </c>
      <c r="BD203" t="s">
        <v>2056</v>
      </c>
      <c r="BE203" s="330">
        <v>43138.478460648148</v>
      </c>
      <c r="BH203" t="str">
        <f>VLOOKUP(B:B,výpočty!$Z$246:$Z$515,1,FALSE)</f>
        <v>R92836</v>
      </c>
    </row>
    <row r="204" spans="1:60" x14ac:dyDescent="0.2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1706</v>
      </c>
      <c r="BD204" t="s">
        <v>2056</v>
      </c>
      <c r="BE204" s="330">
        <v>43138.478460648148</v>
      </c>
      <c r="BH204" t="str">
        <f>VLOOKUP(B:B,výpočty!$Z$246:$Z$515,1,FALSE)</f>
        <v>R96089</v>
      </c>
    </row>
    <row r="205" spans="1:60" x14ac:dyDescent="0.2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1768</v>
      </c>
      <c r="BB205" t="s">
        <v>1504</v>
      </c>
      <c r="BC205" t="s">
        <v>1146</v>
      </c>
      <c r="BD205" t="s">
        <v>2056</v>
      </c>
      <c r="BE205" s="330">
        <v>43138.469259259262</v>
      </c>
      <c r="BH205" t="str">
        <f>VLOOKUP(B:B,výpočty!$Z$246:$Z$515,1,FALSE)</f>
        <v>R96088</v>
      </c>
    </row>
    <row r="206" spans="1:60" x14ac:dyDescent="0.2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1731</v>
      </c>
      <c r="BB206" t="s">
        <v>1345</v>
      </c>
      <c r="BC206" t="s">
        <v>658</v>
      </c>
      <c r="BD206" t="s">
        <v>2056</v>
      </c>
      <c r="BE206" s="330">
        <v>43138.469074074077</v>
      </c>
      <c r="BH206" t="str">
        <f>VLOOKUP(B:B,výpočty!$Z$246:$Z$515,1,FALSE)</f>
        <v>R00013</v>
      </c>
    </row>
    <row r="207" spans="1:60" x14ac:dyDescent="0.2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2056</v>
      </c>
      <c r="BE207" s="330">
        <v>43138.470173611109</v>
      </c>
      <c r="BH207" t="str">
        <f>VLOOKUP(B:B,výpočty!$Z$246:$Z$515,1,FALSE)</f>
        <v>R92835</v>
      </c>
    </row>
    <row r="208" spans="1:60" x14ac:dyDescent="0.2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2056</v>
      </c>
      <c r="BE208" s="330">
        <v>43138.469247685185</v>
      </c>
      <c r="BH208" t="str">
        <f>VLOOKUP(B:B,výpočty!$Z$246:$Z$515,1,FALSE)</f>
        <v>R92838</v>
      </c>
    </row>
    <row r="209" spans="1:60" x14ac:dyDescent="0.2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2056</v>
      </c>
      <c r="BE209" s="330">
        <v>43138.469212962962</v>
      </c>
      <c r="BH209" t="str">
        <f>VLOOKUP(B:B,výpočty!$Z$246:$Z$515,1,FALSE)</f>
        <v>R96941</v>
      </c>
    </row>
    <row r="210" spans="1:60" x14ac:dyDescent="0.2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2056</v>
      </c>
      <c r="BE210" s="330">
        <v>43138.474398148152</v>
      </c>
      <c r="BH210" t="str">
        <f>VLOOKUP(B:B,výpočty!$Z$246:$Z$515,1,FALSE)</f>
        <v>R77014</v>
      </c>
    </row>
    <row r="211" spans="1:60" x14ac:dyDescent="0.2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2056</v>
      </c>
      <c r="BE211" s="330">
        <v>43138.469236111108</v>
      </c>
      <c r="BH211" t="str">
        <f>VLOOKUP(B:B,výpočty!$Z$246:$Z$515,1,FALSE)</f>
        <v>R88216</v>
      </c>
    </row>
    <row r="212" spans="1:60" x14ac:dyDescent="0.2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2056</v>
      </c>
      <c r="BE212" s="330">
        <v>43138.470312500001</v>
      </c>
      <c r="BH212" t="str">
        <f>VLOOKUP(B:B,výpočty!$Z$246:$Z$515,1,FALSE)</f>
        <v>R92817</v>
      </c>
    </row>
    <row r="213" spans="1:60" x14ac:dyDescent="0.2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2056</v>
      </c>
      <c r="BE213" s="330">
        <v>43138.469201388885</v>
      </c>
      <c r="BH213" t="str">
        <f>VLOOKUP(B:B,výpočty!$Z$246:$Z$515,1,FALSE)</f>
        <v>R95974</v>
      </c>
    </row>
    <row r="214" spans="1:60" x14ac:dyDescent="0.2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1698</v>
      </c>
      <c r="BC214" t="s">
        <v>1709</v>
      </c>
      <c r="BD214" t="s">
        <v>2056</v>
      </c>
      <c r="BE214" s="330">
        <v>43138.436215277776</v>
      </c>
      <c r="BH214" t="str">
        <f>VLOOKUP(B:B,výpočty!$Z$246:$Z$515,1,FALSE)</f>
        <v>R00068</v>
      </c>
    </row>
    <row r="215" spans="1:60" x14ac:dyDescent="0.2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2056</v>
      </c>
      <c r="BE215" s="330">
        <v>43138.474386574075</v>
      </c>
      <c r="BH215" t="str">
        <f>VLOOKUP(B:B,výpočty!$Z$246:$Z$515,1,FALSE)</f>
        <v>R92824</v>
      </c>
    </row>
    <row r="216" spans="1:60" x14ac:dyDescent="0.2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2056</v>
      </c>
      <c r="BE216" s="330">
        <v>43138.474386574075</v>
      </c>
      <c r="BH216" t="str">
        <f>VLOOKUP(B:B,výpočty!$Z$246:$Z$515,1,FALSE)</f>
        <v>R88306</v>
      </c>
    </row>
    <row r="217" spans="1:60" x14ac:dyDescent="0.2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1728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1751</v>
      </c>
      <c r="BB217" t="s">
        <v>1510</v>
      </c>
      <c r="BC217" t="s">
        <v>1157</v>
      </c>
      <c r="BD217" t="s">
        <v>2056</v>
      </c>
      <c r="BE217" s="330">
        <v>43138.469085648147</v>
      </c>
      <c r="BH217" t="str">
        <f>VLOOKUP(B:B,výpočty!$Z$246:$Z$515,1,FALSE)</f>
        <v>R96930</v>
      </c>
    </row>
    <row r="218" spans="1:60" x14ac:dyDescent="0.2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1728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2056</v>
      </c>
      <c r="BE218" s="330">
        <v>43138.470196759263</v>
      </c>
      <c r="BH218" t="str">
        <f>VLOOKUP(B:B,výpočty!$Z$246:$Z$515,1,FALSE)</f>
        <v>R96939</v>
      </c>
    </row>
    <row r="219" spans="1:60" x14ac:dyDescent="0.2">
      <c r="A219">
        <v>112002</v>
      </c>
      <c r="B219" t="s">
        <v>1710</v>
      </c>
      <c r="C219" t="s">
        <v>1738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1739</v>
      </c>
      <c r="BB219" t="s">
        <v>1711</v>
      </c>
      <c r="BC219" t="s">
        <v>1863</v>
      </c>
      <c r="BD219" t="s">
        <v>2056</v>
      </c>
      <c r="BE219" s="330">
        <v>43138.437824074077</v>
      </c>
      <c r="BH219" t="str">
        <f>VLOOKUP(B:B,výpočty!$Z$246:$Z$515,1,FALSE)</f>
        <v>R00069</v>
      </c>
    </row>
    <row r="220" spans="1:60" x14ac:dyDescent="0.2">
      <c r="AJ220" s="329"/>
      <c r="BE220" s="330"/>
    </row>
    <row r="221" spans="1:60" x14ac:dyDescent="0.2">
      <c r="AJ221" s="329"/>
      <c r="BE221" s="330"/>
    </row>
    <row r="222" spans="1:60" x14ac:dyDescent="0.2">
      <c r="AJ222" s="329"/>
      <c r="BE222" s="330"/>
    </row>
    <row r="223" spans="1:60" x14ac:dyDescent="0.2">
      <c r="AJ223" s="329"/>
      <c r="BE223" s="330"/>
    </row>
    <row r="224" spans="1:60" x14ac:dyDescent="0.2">
      <c r="AJ224" s="329"/>
      <c r="BE224" s="330"/>
    </row>
    <row r="225" spans="2:57" x14ac:dyDescent="0.2">
      <c r="AJ225" s="329"/>
      <c r="BE225" s="330"/>
    </row>
    <row r="226" spans="2:57" x14ac:dyDescent="0.2">
      <c r="AJ226" s="329"/>
      <c r="BE226" s="330"/>
    </row>
    <row r="227" spans="2:57" x14ac:dyDescent="0.2">
      <c r="AJ227" s="329"/>
      <c r="BE227" s="330"/>
    </row>
    <row r="228" spans="2:57" x14ac:dyDescent="0.2">
      <c r="AJ228" s="329"/>
      <c r="BE228" s="330"/>
    </row>
    <row r="229" spans="2:57" x14ac:dyDescent="0.2">
      <c r="AJ229" s="329"/>
      <c r="BE229" s="330"/>
    </row>
    <row r="230" spans="2:57" x14ac:dyDescent="0.2">
      <c r="AJ230" s="329"/>
      <c r="BE230" s="330"/>
    </row>
    <row r="231" spans="2:57" x14ac:dyDescent="0.2">
      <c r="AJ231" s="329"/>
      <c r="BE231" s="330"/>
    </row>
    <row r="232" spans="2:57" x14ac:dyDescent="0.2">
      <c r="AJ232" s="329"/>
      <c r="BE232" s="330"/>
    </row>
    <row r="233" spans="2:57" x14ac:dyDescent="0.2">
      <c r="AJ233" s="329"/>
      <c r="BE233" s="330"/>
    </row>
    <row r="234" spans="2:57" x14ac:dyDescent="0.2">
      <c r="AJ234" s="329"/>
      <c r="BE234" s="330"/>
    </row>
    <row r="235" spans="2:57" x14ac:dyDescent="0.2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40625" defaultRowHeight="12.75" x14ac:dyDescent="0.2"/>
  <cols>
    <col min="1" max="1" width="22.42578125" style="197" customWidth="1"/>
    <col min="2" max="2" width="11.5703125" style="197" customWidth="1"/>
    <col min="3" max="3" width="17.7109375" style="197" customWidth="1"/>
    <col min="4" max="4" width="10.7109375" style="197" customWidth="1"/>
    <col min="5" max="5" width="12.5703125" style="197" customWidth="1"/>
    <col min="6" max="6" width="10.7109375" style="197" customWidth="1"/>
    <col min="7" max="16384" width="9.140625" style="197"/>
  </cols>
  <sheetData>
    <row r="1" spans="1:10" x14ac:dyDescent="0.2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1927</v>
      </c>
      <c r="H1" s="202" t="s">
        <v>1928</v>
      </c>
      <c r="I1" s="199" t="s">
        <v>2238</v>
      </c>
      <c r="J1" s="197" t="s">
        <v>2239</v>
      </c>
    </row>
    <row r="2" spans="1:10" x14ac:dyDescent="0.2">
      <c r="A2" s="620" t="s">
        <v>1322</v>
      </c>
      <c r="B2" s="620"/>
      <c r="C2" s="620"/>
      <c r="D2" s="620"/>
      <c r="E2" s="620"/>
      <c r="F2" s="620"/>
    </row>
    <row r="3" spans="1:10" x14ac:dyDescent="0.2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2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2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2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2">
      <c r="A7" s="621" t="s">
        <v>1328</v>
      </c>
      <c r="B7" s="621"/>
      <c r="C7" s="621"/>
      <c r="D7" s="621"/>
      <c r="E7" s="621"/>
      <c r="F7" s="621"/>
    </row>
    <row r="8" spans="1:10" x14ac:dyDescent="0.2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2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2">
      <c r="A10" s="620" t="s">
        <v>1315</v>
      </c>
      <c r="B10" s="620"/>
      <c r="C10" s="620"/>
      <c r="D10" s="620"/>
      <c r="E10" s="620"/>
      <c r="F10" s="620"/>
    </row>
    <row r="11" spans="1:10" x14ac:dyDescent="0.2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2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2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2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2">
      <c r="A15" s="198" t="s">
        <v>2006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2">
      <c r="A16" s="198" t="s">
        <v>2007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39.140625" customWidth="1"/>
    <col min="2" max="2" width="83.85546875" customWidth="1"/>
    <col min="3" max="3" width="59.42578125" bestFit="1" customWidth="1"/>
    <col min="4" max="4" width="69.85546875" bestFit="1" customWidth="1"/>
    <col min="5" max="5" width="69" customWidth="1"/>
    <col min="7" max="7" width="20.5703125" bestFit="1" customWidth="1"/>
  </cols>
  <sheetData>
    <row r="1" spans="1:7" x14ac:dyDescent="0.2">
      <c r="A1" s="181">
        <f>výpočty!AE1</f>
        <v>3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">
      <c r="A2" s="184" t="str">
        <f>IF($A$1=1,B:B,IF($A$1=2,C:C,IF($A$1=3,D:D,IF($A$1=4,E:E))))</f>
        <v>Zamawianie żaluzji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">
      <c r="A3" s="181" t="str">
        <f t="shared" ref="A3:A66" si="0">IF($A$1=1,B:B,IF($A$1=2,C:C,IF($A$1=3,D:D,IF($A$1=4,E:E))))</f>
        <v xml:space="preserve">Klient 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">
      <c r="A4" s="181" t="str">
        <f t="shared" si="0"/>
        <v>Nazwa</v>
      </c>
      <c r="B4" s="181" t="s">
        <v>618</v>
      </c>
      <c r="C4" s="181" t="s">
        <v>1821</v>
      </c>
      <c r="D4" s="181" t="s">
        <v>1198</v>
      </c>
      <c r="E4" s="181" t="s">
        <v>1568</v>
      </c>
    </row>
    <row r="5" spans="1:7" x14ac:dyDescent="0.2">
      <c r="A5" s="181" t="str">
        <f t="shared" si="0"/>
        <v>Ulica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">
      <c r="A6" s="181" t="str">
        <f t="shared" si="0"/>
        <v>Miasto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">
      <c r="A7" s="181" t="str">
        <f t="shared" si="0"/>
        <v>NIP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">
      <c r="A8" s="181" t="str">
        <f t="shared" si="0"/>
        <v>Tel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">
      <c r="A9" s="181" t="str">
        <f t="shared" si="0"/>
        <v>Uwagi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">
      <c r="A10" s="181" t="str">
        <f t="shared" si="0"/>
        <v>Zniżka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">
      <c r="A11" s="181" t="str">
        <f t="shared" si="0"/>
        <v xml:space="preserve">Ilość szt. 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">
      <c r="A12" s="181" t="str">
        <f t="shared" si="0"/>
        <v>Przygotować żaluzje na miarę?</v>
      </c>
      <c r="B12" s="181" t="s">
        <v>1702</v>
      </c>
      <c r="C12" s="181" t="s">
        <v>1699</v>
      </c>
      <c r="D12" s="181" t="s">
        <v>1700</v>
      </c>
      <c r="E12" s="181" t="s">
        <v>1701</v>
      </c>
    </row>
    <row r="13" spans="1:7" s="185" customFormat="1" x14ac:dyDescent="0.2">
      <c r="A13" s="184" t="str">
        <f t="shared" si="0"/>
        <v>Jeśli wybierzesz opcję "tak", żaluzja będzie przygotowana jako komplet, nacięta i przyszykowana do montażu (należy jeszcze poprawić niektóre tory)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">
      <c r="A14" s="181" t="str">
        <f t="shared" si="0"/>
        <v>System nawijania</v>
      </c>
      <c r="B14" s="181" t="s">
        <v>1304</v>
      </c>
      <c r="C14" s="181" t="s">
        <v>1305</v>
      </c>
      <c r="D14" s="181" t="s">
        <v>1864</v>
      </c>
      <c r="E14" s="181" t="s">
        <v>1576</v>
      </c>
    </row>
    <row r="15" spans="1:7" x14ac:dyDescent="0.2">
      <c r="A15" s="181" t="str">
        <f t="shared" si="0"/>
        <v>Rozmiar szafki</v>
      </c>
      <c r="B15" s="181" t="s">
        <v>1714</v>
      </c>
      <c r="C15" s="181" t="s">
        <v>1866</v>
      </c>
      <c r="D15" s="181" t="s">
        <v>1865</v>
      </c>
      <c r="E15" s="304" t="s">
        <v>1867</v>
      </c>
    </row>
    <row r="16" spans="1:7" x14ac:dyDescent="0.2">
      <c r="A16" s="181" t="str">
        <f t="shared" si="0"/>
        <v>wysokość (mm):</v>
      </c>
      <c r="B16" s="181" t="s">
        <v>1716</v>
      </c>
      <c r="C16" s="181" t="s">
        <v>1716</v>
      </c>
      <c r="D16" s="181" t="s">
        <v>1721</v>
      </c>
      <c r="E16" s="181" t="s">
        <v>1724</v>
      </c>
    </row>
    <row r="17" spans="1:5" x14ac:dyDescent="0.2">
      <c r="A17" s="181" t="str">
        <f t="shared" si="0"/>
        <v>szerokość (mm):</v>
      </c>
      <c r="B17" s="181" t="s">
        <v>1717</v>
      </c>
      <c r="C17" s="181" t="s">
        <v>1719</v>
      </c>
      <c r="D17" s="181" t="s">
        <v>1722</v>
      </c>
      <c r="E17" s="181" t="s">
        <v>1725</v>
      </c>
    </row>
    <row r="18" spans="1:5" x14ac:dyDescent="0.2">
      <c r="A18" s="181" t="str">
        <f t="shared" si="0"/>
        <v>głębokość (mm):</v>
      </c>
      <c r="B18" s="181" t="s">
        <v>1718</v>
      </c>
      <c r="C18" s="181" t="s">
        <v>1720</v>
      </c>
      <c r="D18" s="181" t="s">
        <v>1723</v>
      </c>
      <c r="E18" s="181" t="s">
        <v>1726</v>
      </c>
    </row>
    <row r="19" spans="1:5" x14ac:dyDescent="0.2">
      <c r="A19" s="181" t="str">
        <f t="shared" si="0"/>
        <v>Kierunek ruchu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">
      <c r="A20" s="181" t="str">
        <f t="shared" si="0"/>
        <v>Typ systemu prowadzenia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">
      <c r="A21" s="181" t="str">
        <f t="shared" si="0"/>
        <v>Kolor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">
      <c r="A22" s="181" t="str">
        <f t="shared" si="0"/>
        <v>Kod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">
      <c r="A23" s="181" t="str">
        <f t="shared" si="0"/>
        <v>Sortyment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">
      <c r="A24" s="181" t="str">
        <f t="shared" si="0"/>
        <v xml:space="preserve">Ilość 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">
      <c r="A25" s="181" t="str">
        <f t="shared" si="0"/>
        <v>Cena za sztukę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">
      <c r="A26" s="181" t="str">
        <f t="shared" si="0"/>
        <v>Cena bez VAT</v>
      </c>
      <c r="B26" s="181" t="s">
        <v>1228</v>
      </c>
      <c r="C26" s="181" t="s">
        <v>1229</v>
      </c>
      <c r="D26" s="181" t="s">
        <v>1712</v>
      </c>
      <c r="E26" s="181" t="s">
        <v>1584</v>
      </c>
    </row>
    <row r="27" spans="1:5" x14ac:dyDescent="0.2">
      <c r="A27" s="181" t="str">
        <f t="shared" si="0"/>
        <v>Kod dostawy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">
      <c r="A28" s="181" t="str">
        <f t="shared" si="0"/>
        <v>Profil rolety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">
      <c r="A29" s="181" t="str">
        <f t="shared" si="0"/>
        <v xml:space="preserve">Listwa końcowa 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">
      <c r="A30" s="181" t="str">
        <f t="shared" si="0"/>
        <v>Listwa maskująca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">
      <c r="A31" s="181" t="str">
        <f t="shared" si="0"/>
        <v>Listwa torowa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">
      <c r="A32" s="181" t="str">
        <f t="shared" si="0"/>
        <v>Opłata za przygotowanie kompletu na miarę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">
      <c r="A33" s="181" t="str">
        <f t="shared" si="0"/>
        <v xml:space="preserve">W sumie 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">
      <c r="A34" s="181" t="str">
        <f t="shared" si="0"/>
        <v xml:space="preserve">Dekor - buk, czereśnia, brzoza, klon, chrom, czereśnia havana, calavados, transparent. 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">
      <c r="A35" s="181" t="str">
        <f t="shared" si="0"/>
        <v>Typ systemu prowadzenia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">
      <c r="A36" s="325" t="str">
        <f t="shared" si="0"/>
        <v>TOP Basic - wpuszczany do przykręcenia plastikowy</v>
      </c>
      <c r="B36" s="351" t="s">
        <v>1992</v>
      </c>
      <c r="C36" t="s">
        <v>2221</v>
      </c>
      <c r="D36" s="325" t="s">
        <v>2240</v>
      </c>
      <c r="E36" s="326" t="s">
        <v>2241</v>
      </c>
      <c r="G36"/>
    </row>
    <row r="37" spans="1:7" s="327" customFormat="1" x14ac:dyDescent="0.2">
      <c r="A37" s="325" t="str">
        <f t="shared" si="0"/>
        <v>Classic - wpuszczany do zafrezowania</v>
      </c>
      <c r="B37" s="351" t="s">
        <v>1993</v>
      </c>
      <c r="C37" t="s">
        <v>2222</v>
      </c>
      <c r="D37" s="325" t="s">
        <v>2242</v>
      </c>
      <c r="E37" s="326" t="s">
        <v>2243</v>
      </c>
      <c r="G37"/>
    </row>
    <row r="38" spans="1:7" s="327" customFormat="1" x14ac:dyDescent="0.2">
      <c r="A38" s="325" t="str">
        <f t="shared" si="0"/>
        <v>Nakładany z prowadzeniem metalic-line 29 mm i mechanimem C3</v>
      </c>
      <c r="B38" s="351" t="s">
        <v>1989</v>
      </c>
      <c r="C38" t="s">
        <v>1989</v>
      </c>
      <c r="D38" s="325" t="s">
        <v>2244</v>
      </c>
      <c r="E38" s="326" t="s">
        <v>2245</v>
      </c>
      <c r="G38"/>
    </row>
    <row r="39" spans="1:7" x14ac:dyDescent="0.2">
      <c r="A39" s="181" t="str">
        <f t="shared" si="0"/>
        <v>aluminium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">
      <c r="A40" s="181" t="str">
        <f t="shared" si="0"/>
        <v>stal nierdzewna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">
      <c r="A41" s="181" t="str">
        <f t="shared" si="0"/>
        <v>Komponenty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">
      <c r="A42" s="181" t="str">
        <f t="shared" si="0"/>
        <v>Roleta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">
      <c r="A43" s="181" t="str">
        <f t="shared" si="0"/>
        <v>Listwa końcowa + ślizgacze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">
      <c r="A44" s="181" t="str">
        <f t="shared" si="0"/>
        <v xml:space="preserve">Listwa torowa + rogi 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">
      <c r="A45" s="181" t="str">
        <f t="shared" si="0"/>
        <v xml:space="preserve">Mechanizm roletowy C3 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">
      <c r="A46" s="181" t="str">
        <f t="shared" si="0"/>
        <v>Kolory pastelowe - biały, czarny, szary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">
      <c r="A47" s="181" t="str">
        <f t="shared" si="0"/>
        <v>Metallicline - aluminium, stal nierdzewna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">
      <c r="A48" s="181" t="str">
        <f t="shared" si="0"/>
        <v xml:space="preserve">Metallic line - set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">
      <c r="A49" s="181" t="str">
        <f t="shared" si="0"/>
        <v xml:space="preserve">do tego wariantu można zastosować następujący SET: 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">
      <c r="A50" s="181" t="str">
        <f t="shared" si="0"/>
        <v>Mechanizmy roletowe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">
      <c r="A51" s="181" t="str">
        <f t="shared" si="0"/>
        <v xml:space="preserve">Oznaczenie 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">
      <c r="A52" s="181" t="str">
        <f t="shared" si="0"/>
        <v>Rozmiar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">
      <c r="A53" s="181" t="str">
        <f t="shared" si="0"/>
        <v xml:space="preserve">Cena 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">
      <c r="A54" s="181" t="str">
        <f t="shared" si="0"/>
        <v>Nakładany system z C3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">
      <c r="A55" s="181" t="str">
        <f t="shared" si="0"/>
        <v>Do tyłu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">
      <c r="A56" s="181" t="str">
        <f t="shared" si="0"/>
        <v>Do ślimaka roletowego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">
      <c r="A57" s="181" t="str">
        <f t="shared" si="0"/>
        <v>Z mecjanizmem C3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">
      <c r="A58" s="181" t="str">
        <f t="shared" si="0"/>
        <v>Pionowy (z góry na dół)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">
      <c r="A59" s="181" t="str">
        <f t="shared" si="0"/>
        <v>Poziomy (z lewej strony na prawą)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">
      <c r="A60" s="181" t="str">
        <f t="shared" si="0"/>
        <v>Czarny (E23)</v>
      </c>
      <c r="B60" s="181" t="s">
        <v>1994</v>
      </c>
      <c r="C60" s="181" t="s">
        <v>2177</v>
      </c>
      <c r="D60" s="181" t="s">
        <v>2182</v>
      </c>
      <c r="E60" s="183" t="s">
        <v>2190</v>
      </c>
    </row>
    <row r="61" spans="1:5" x14ac:dyDescent="0.2">
      <c r="A61" s="181" t="str">
        <f t="shared" si="0"/>
        <v>Biały (E23)</v>
      </c>
      <c r="B61" s="181" t="s">
        <v>1995</v>
      </c>
      <c r="C61" s="181" t="s">
        <v>2178</v>
      </c>
      <c r="D61" s="181" t="s">
        <v>2183</v>
      </c>
      <c r="E61" s="183" t="s">
        <v>2191</v>
      </c>
    </row>
    <row r="62" spans="1:5" x14ac:dyDescent="0.2">
      <c r="A62" s="181" t="str">
        <f t="shared" si="0"/>
        <v>Szary (E23)</v>
      </c>
      <c r="B62" s="181" t="s">
        <v>1996</v>
      </c>
      <c r="C62" s="181" t="s">
        <v>1996</v>
      </c>
      <c r="D62" s="181" t="s">
        <v>2184</v>
      </c>
      <c r="E62" s="183" t="s">
        <v>2192</v>
      </c>
    </row>
    <row r="63" spans="1:5" x14ac:dyDescent="0.2">
      <c r="A63" s="181" t="str">
        <f t="shared" si="0"/>
        <v>Aluminowa plastik (E23)</v>
      </c>
      <c r="B63" s="181" t="s">
        <v>1997</v>
      </c>
      <c r="C63" s="183" t="s">
        <v>1997</v>
      </c>
      <c r="D63" s="181" t="s">
        <v>2185</v>
      </c>
      <c r="E63" s="183" t="s">
        <v>2193</v>
      </c>
    </row>
    <row r="64" spans="1:5" x14ac:dyDescent="0.2">
      <c r="A64" s="181" t="str">
        <f t="shared" si="0"/>
        <v>Buk (E23)</v>
      </c>
      <c r="B64" s="181" t="s">
        <v>1998</v>
      </c>
      <c r="C64" s="181" t="s">
        <v>1998</v>
      </c>
      <c r="D64" s="181" t="s">
        <v>1998</v>
      </c>
      <c r="E64" s="183" t="s">
        <v>2194</v>
      </c>
    </row>
    <row r="65" spans="1:5" x14ac:dyDescent="0.2">
      <c r="A65" s="181" t="str">
        <f t="shared" si="0"/>
        <v>Czereśnia (E23)</v>
      </c>
      <c r="B65" s="181" t="s">
        <v>1999</v>
      </c>
      <c r="C65" s="181" t="s">
        <v>2179</v>
      </c>
      <c r="D65" s="181" t="s">
        <v>2186</v>
      </c>
      <c r="E65" s="183" t="s">
        <v>2195</v>
      </c>
    </row>
    <row r="66" spans="1:5" x14ac:dyDescent="0.2">
      <c r="A66" s="181" t="str">
        <f t="shared" si="0"/>
        <v>Klon (E23)</v>
      </c>
      <c r="B66" s="181" t="s">
        <v>2000</v>
      </c>
      <c r="C66" s="181" t="s">
        <v>2000</v>
      </c>
      <c r="D66" s="181" t="s">
        <v>2187</v>
      </c>
      <c r="E66" s="183" t="s">
        <v>2196</v>
      </c>
    </row>
    <row r="67" spans="1:5" x14ac:dyDescent="0.2">
      <c r="A67" s="181" t="str">
        <f t="shared" ref="A67:A130" si="1">IF($A$1=1,B:B,IF($A$1=2,C:C,IF($A$1=3,D:D,IF($A$1=4,E:E))))</f>
        <v>Brzoza (E23)</v>
      </c>
      <c r="B67" s="181" t="s">
        <v>2001</v>
      </c>
      <c r="C67" s="181" t="s">
        <v>2180</v>
      </c>
      <c r="D67" s="181" t="s">
        <v>2188</v>
      </c>
      <c r="E67" s="183" t="s">
        <v>2197</v>
      </c>
    </row>
    <row r="68" spans="1:5" x14ac:dyDescent="0.2">
      <c r="A68" s="181" t="str">
        <f t="shared" si="1"/>
        <v>Czereśnia havana (E23)</v>
      </c>
      <c r="B68" s="181" t="s">
        <v>2002</v>
      </c>
      <c r="C68" s="181" t="s">
        <v>2181</v>
      </c>
      <c r="D68" s="181" t="s">
        <v>2189</v>
      </c>
      <c r="E68" s="183" t="s">
        <v>2198</v>
      </c>
    </row>
    <row r="69" spans="1:5" x14ac:dyDescent="0.2">
      <c r="A69" s="181" t="str">
        <f t="shared" si="1"/>
        <v>Calvados (E23)</v>
      </c>
      <c r="B69" s="181" t="s">
        <v>2003</v>
      </c>
      <c r="C69" s="181" t="s">
        <v>2003</v>
      </c>
      <c r="D69" s="181" t="s">
        <v>2003</v>
      </c>
      <c r="E69" s="183" t="s">
        <v>2003</v>
      </c>
    </row>
    <row r="70" spans="1:5" x14ac:dyDescent="0.2">
      <c r="A70" s="181" t="str">
        <f t="shared" si="1"/>
        <v>Transparentny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">
      <c r="A71" s="181" t="str">
        <f t="shared" si="1"/>
        <v>Aluminium szerokość 20 mm (metallic-line)</v>
      </c>
      <c r="B71" s="183" t="s">
        <v>1772</v>
      </c>
      <c r="C71" s="183" t="s">
        <v>1774</v>
      </c>
      <c r="D71" s="181" t="s">
        <v>1776</v>
      </c>
      <c r="E71" s="183" t="s">
        <v>1780</v>
      </c>
    </row>
    <row r="72" spans="1:5" x14ac:dyDescent="0.2">
      <c r="A72" s="181" t="str">
        <f t="shared" si="1"/>
        <v>Nierdz. szerokość 20 mm (metallic-line)</v>
      </c>
      <c r="B72" s="183" t="s">
        <v>1773</v>
      </c>
      <c r="C72" s="183" t="s">
        <v>1779</v>
      </c>
      <c r="D72" s="181" t="s">
        <v>1778</v>
      </c>
      <c r="E72" s="183" t="s">
        <v>1781</v>
      </c>
    </row>
    <row r="73" spans="1:5" x14ac:dyDescent="0.2">
      <c r="A73" s="181" t="str">
        <f t="shared" si="1"/>
        <v>Bez ograniczeń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">
      <c r="A74" s="181" t="str">
        <f t="shared" si="1"/>
        <v>nie można zastosować z mechanizmem wyważającym C3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">
      <c r="A75" s="181" t="str">
        <f t="shared" si="1"/>
        <v>nie odpowiada żadny C BOX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">
      <c r="A76" s="181" t="str">
        <f t="shared" si="1"/>
        <v>nie odpowiada żadny SET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">
      <c r="A77" s="181" t="str">
        <f t="shared" si="1"/>
        <v>o rozmiarach szerokość - 500, wysokość - 600-1000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">
      <c r="A78" s="181" t="str">
        <f t="shared" si="1"/>
        <v>o rozmiarach szerokość - 500, wysokość -1000-1500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">
      <c r="A79" s="181" t="str">
        <f t="shared" si="1"/>
        <v>o rozmiarach szerokość - 600, wysokość - 600-1000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">
      <c r="A80" s="181" t="str">
        <f t="shared" si="1"/>
        <v>o rozmiarach szerokość - 600, wysokość - 1000-1500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">
      <c r="A81" s="181" t="str">
        <f t="shared" si="1"/>
        <v>o rozmiarach szerokość - 900, wysokość - 600-1000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">
      <c r="A82" s="181" t="str">
        <f t="shared" si="1"/>
        <v>o rozmiarach szerokość - 900, wysokość - 1000-1500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">
      <c r="A83" s="181" t="str">
        <f t="shared" si="1"/>
        <v>Podane ceny nie zawierają podatku VAT i ważne są od 06.01.2025</v>
      </c>
      <c r="B83" s="181" t="str">
        <f>CONCATENATE("Uvedené ceny jsou bez DPH, s platností k ",F106)</f>
        <v>Uvedené ceny jsou bez DPH, s platností k 06.01.2025</v>
      </c>
      <c r="C83" s="181" t="str">
        <f>CONCATENATE("Uvedené ceny sú bez DPH, s platnosťou od ",F106)</f>
        <v>Uvedené ceny sú bez DPH, s platnosťou od 06.01.2025</v>
      </c>
      <c r="D83" s="181" t="str">
        <f>CONCATENATE("Podane ceny nie zawierają podatku VAT i ważne są od ",F106)</f>
        <v>Podane ceny nie zawierają podatku VAT i ważne są od 06.01.2025</v>
      </c>
      <c r="E83" s="181" t="str">
        <f>CONCATENATE("Az árak ÁFa nélül vannak megadva, hatályban ",F106,"-től")</f>
        <v>Az árak ÁFa nélül vannak megadva, hatályban 06.01.2025-től</v>
      </c>
    </row>
    <row r="84" spans="1:7" x14ac:dyDescent="0.2">
      <c r="A84" s="181" t="str">
        <f t="shared" si="1"/>
        <v>nie można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">
      <c r="A85" s="325" t="str">
        <f t="shared" si="1"/>
        <v>Frame - nakładany z listwą maskującą</v>
      </c>
      <c r="B85" s="351" t="s">
        <v>1990</v>
      </c>
      <c r="C85" t="s">
        <v>2223</v>
      </c>
      <c r="D85" s="325" t="s">
        <v>2246</v>
      </c>
      <c r="E85" s="326" t="s">
        <v>2247</v>
      </c>
      <c r="G85"/>
    </row>
    <row r="86" spans="1:7" s="327" customFormat="1" x14ac:dyDescent="0.2">
      <c r="A86" s="325" t="str">
        <f t="shared" si="1"/>
        <v>TOP - wpuszczany do przykręcenia metalowy z listwą maskującą</v>
      </c>
      <c r="B86" s="351" t="s">
        <v>1991</v>
      </c>
      <c r="C86" t="s">
        <v>2224</v>
      </c>
      <c r="D86" s="325" t="s">
        <v>2248</v>
      </c>
      <c r="E86" s="326" t="s">
        <v>2249</v>
      </c>
      <c r="G86"/>
    </row>
    <row r="87" spans="1:7" x14ac:dyDescent="0.2">
      <c r="A87" s="181" t="str">
        <f t="shared" si="1"/>
        <v>Tak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">
      <c r="A88" s="181" t="str">
        <f t="shared" si="1"/>
        <v>Nie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">
      <c r="A89" s="181" t="str">
        <f t="shared" si="1"/>
        <v xml:space="preserve">Za mała głębokość na mech. roletowy (np. ślimak) 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">
      <c r="A90" s="181" t="str">
        <f t="shared" si="1"/>
        <v>Wybierz mechanizm roletowy C3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">
      <c r="A91" s="181" t="str">
        <f t="shared" si="1"/>
        <v>nie można zastosować ślimaka rolety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">
      <c r="A92" s="181" t="str">
        <f t="shared" si="1"/>
        <v>nie można zastosować mech.rolet. C3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">
      <c r="A93" s="181" t="str">
        <f t="shared" si="1"/>
        <v>nie można zastosować ślimaka rolety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">
      <c r="A94" s="181" t="str">
        <f t="shared" si="1"/>
        <v>taśma klejąca do przyklejenia żaluzji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">
      <c r="A95" s="181" t="str">
        <f t="shared" si="1"/>
        <v>Rozmiar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">
      <c r="A96" s="181" t="str">
        <f t="shared" si="1"/>
        <v>do skracania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">
      <c r="A97" s="184" t="str">
        <f t="shared" si="1"/>
        <v>Lista elementów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">
      <c r="A98" s="184" t="str">
        <f t="shared" si="1"/>
        <v>Instrukcja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">
      <c r="A99" s="181" t="str">
        <f t="shared" si="1"/>
        <v>Do przykręcania. Aluminiowe listwy torowe, które mają osłony w takim samym kolorze jak rolety.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">
      <c r="A100" s="181" t="str">
        <f t="shared" si="1"/>
        <v>System nakładany (FRAME). Prowadnica tego systemu składa się z dwóch części: aluminowego toru i osłony, która jest w tym samym kolorze co roleta.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">
      <c r="A101" s="181" t="str">
        <f t="shared" si="1"/>
        <v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B101" s="181" t="s">
        <v>2345</v>
      </c>
      <c r="C101" s="181" t="s">
        <v>2346</v>
      </c>
      <c r="D101" s="181" t="s">
        <v>2347</v>
      </c>
      <c r="E101" s="181" t="s">
        <v>2348</v>
      </c>
    </row>
    <row r="102" spans="1:7" x14ac:dyDescent="0.2">
      <c r="A102" s="181" t="str">
        <f t="shared" si="1"/>
        <v>Wzorniki kolorów są jedynie orientacyjne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">
      <c r="A103" s="181" t="str">
        <f t="shared" si="1"/>
        <v>Instrukcje montażu są dostępne na naszym portalu www.demos24plus.com</v>
      </c>
      <c r="B103" s="181" t="s">
        <v>1806</v>
      </c>
      <c r="C103" s="181" t="s">
        <v>1807</v>
      </c>
      <c r="D103" s="181" t="s">
        <v>1808</v>
      </c>
      <c r="E103" s="181" t="s">
        <v>1809</v>
      </c>
    </row>
    <row r="104" spans="1:7" x14ac:dyDescent="0.2">
      <c r="A104" s="181" t="str">
        <f t="shared" si="1"/>
        <v>System do przykręcania. Tory są dostępne jedynie w unikolorach.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">
      <c r="A105" s="181" t="str">
        <f>CONCATENATE(IF($A$1=1,B:B,IF($A$1=2,C:C,IF($A$1=3,D:D,IF($A$1=4,E:E)))),F105)</f>
        <v>Pion.25.01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2757</v>
      </c>
    </row>
    <row r="106" spans="1:7" x14ac:dyDescent="0.2">
      <c r="A106" s="181" t="str">
        <f>CONCATENATE(IF($A$1=1,B:B,IF($A$1=2,C:C,IF($A$1=3,D:D,IF($A$1=4,E:E)))),F106)</f>
        <v>Podane ceny nie zawierają podatku VAT i obowiązują od06.01.2025</v>
      </c>
      <c r="B106" s="181" t="s">
        <v>1542</v>
      </c>
      <c r="C106" s="181" t="s">
        <v>1668</v>
      </c>
      <c r="D106" s="181" t="s">
        <v>1692</v>
      </c>
      <c r="E106" s="181" t="s">
        <v>1642</v>
      </c>
      <c r="F106" s="317" t="s">
        <v>2758</v>
      </c>
    </row>
    <row r="107" spans="1:7" x14ac:dyDescent="0.2">
      <c r="A107" s="181" t="str">
        <f t="shared" si="1"/>
        <v>JM</v>
      </c>
      <c r="B107" s="181" t="s">
        <v>359</v>
      </c>
      <c r="C107" s="181" t="s">
        <v>359</v>
      </c>
      <c r="D107" s="181" t="s">
        <v>1693</v>
      </c>
      <c r="E107" s="181" t="s">
        <v>1643</v>
      </c>
    </row>
    <row r="108" spans="1:7" x14ac:dyDescent="0.2">
      <c r="A108" s="181" t="str">
        <f t="shared" si="1"/>
        <v>KOMP.</v>
      </c>
      <c r="B108" t="s">
        <v>723</v>
      </c>
      <c r="C108" t="s">
        <v>723</v>
      </c>
      <c r="D108" s="181" t="s">
        <v>1694</v>
      </c>
      <c r="E108" t="s">
        <v>1644</v>
      </c>
    </row>
    <row r="109" spans="1:7" x14ac:dyDescent="0.2">
      <c r="A109" s="181" t="str">
        <f t="shared" si="1"/>
        <v>MB</v>
      </c>
      <c r="B109" t="s">
        <v>629</v>
      </c>
      <c r="C109" t="s">
        <v>629</v>
      </c>
      <c r="D109" s="181" t="s">
        <v>1695</v>
      </c>
      <c r="E109" t="s">
        <v>1645</v>
      </c>
    </row>
    <row r="110" spans="1:7" x14ac:dyDescent="0.2">
      <c r="A110" s="181" t="str">
        <f t="shared" si="1"/>
        <v>PAR.</v>
      </c>
      <c r="B110" t="s">
        <v>657</v>
      </c>
      <c r="C110" t="s">
        <v>657</v>
      </c>
      <c r="D110" t="s">
        <v>1696</v>
      </c>
      <c r="E110" t="s">
        <v>1646</v>
      </c>
    </row>
    <row r="111" spans="1:7" x14ac:dyDescent="0.2">
      <c r="A111" s="181" t="str">
        <f t="shared" si="1"/>
        <v>SZT.</v>
      </c>
      <c r="B111" t="s">
        <v>643</v>
      </c>
      <c r="C111" t="s">
        <v>643</v>
      </c>
      <c r="D111" t="s">
        <v>1697</v>
      </c>
      <c r="E111" t="s">
        <v>1647</v>
      </c>
    </row>
    <row r="112" spans="1:7" s="185" customFormat="1" x14ac:dyDescent="0.2">
      <c r="A112" s="184" t="str">
        <f t="shared" si="1"/>
        <v>Formularz zamowieniowy rolet Rehau 25.01 PL</v>
      </c>
      <c r="B112" s="185" t="str">
        <f>CONCATENATE("Objednávkový formulář na rolety Rehau ",F105," CZ")</f>
        <v>Objednávkový formulář na rolety Rehau 25.01 CZ</v>
      </c>
      <c r="C112" s="185" t="str">
        <f>CONCATENATE("Objednávkový formulár na rolety Rehau ",F105," SK")</f>
        <v>Objednávkový formulár na rolety Rehau 25.01 SK</v>
      </c>
      <c r="D112" s="185" t="str">
        <f>CONCATENATE("Formularz zamowieniowy rolet Rehau ",F105," PL")</f>
        <v>Formularz zamowieniowy rolet Rehau 25.01 PL</v>
      </c>
      <c r="E112" s="185" t="str">
        <f>CONCATENATE("Megrendelési űrlap Rehau ",F105," redőnyökre HU")</f>
        <v>Megrendelési űrlap Rehau 25.01 redőnyökre HU</v>
      </c>
      <c r="G112"/>
    </row>
    <row r="113" spans="1:5" x14ac:dyDescent="0.2">
      <c r="A113" s="181" t="str">
        <f t="shared" si="1"/>
        <v>kontrolne zewnętrzne</v>
      </c>
      <c r="B113" s="41" t="s">
        <v>1727</v>
      </c>
      <c r="C113" t="s">
        <v>1869</v>
      </c>
      <c r="D113" t="s">
        <v>1868</v>
      </c>
      <c r="E113" s="305" t="s">
        <v>1870</v>
      </c>
    </row>
    <row r="114" spans="1:5" x14ac:dyDescent="0.2">
      <c r="A114" s="181" t="str">
        <f t="shared" si="1"/>
        <v>wewnętrzne</v>
      </c>
      <c r="B114" t="s">
        <v>1713</v>
      </c>
      <c r="C114" t="s">
        <v>1872</v>
      </c>
      <c r="D114" t="s">
        <v>1871</v>
      </c>
      <c r="E114" t="s">
        <v>1873</v>
      </c>
    </row>
    <row r="115" spans="1:5" x14ac:dyDescent="0.2">
      <c r="A115" s="181" t="str">
        <f t="shared" si="1"/>
        <v>(materiał gr. 18 mm)</v>
      </c>
      <c r="B115" s="41" t="s">
        <v>1715</v>
      </c>
      <c r="C115" t="s">
        <v>1875</v>
      </c>
      <c r="D115" t="s">
        <v>1874</v>
      </c>
      <c r="E115" t="s">
        <v>1876</v>
      </c>
    </row>
    <row r="116" spans="1:5" x14ac:dyDescent="0.2">
      <c r="A116" s="181" t="str">
        <f t="shared" si="1"/>
        <v>Aluminium szerokość 25 mm (metallic-line)</v>
      </c>
      <c r="B116" t="s">
        <v>1782</v>
      </c>
      <c r="C116" t="s">
        <v>1783</v>
      </c>
      <c r="D116" t="s">
        <v>1784</v>
      </c>
      <c r="E116" t="s">
        <v>1785</v>
      </c>
    </row>
    <row r="117" spans="1:5" x14ac:dyDescent="0.2">
      <c r="A117" s="181" t="str">
        <f t="shared" si="1"/>
        <v>Nierdz. szerokość 25 mm (metallic-line)</v>
      </c>
      <c r="B117" t="s">
        <v>1786</v>
      </c>
      <c r="C117" t="s">
        <v>1775</v>
      </c>
      <c r="D117" t="s">
        <v>1777</v>
      </c>
      <c r="E117" t="s">
        <v>1787</v>
      </c>
    </row>
    <row r="118" spans="1:5" x14ac:dyDescent="0.2">
      <c r="A118" s="181" t="str">
        <f t="shared" si="1"/>
        <v>Prosimy korzystać zawsze z aktualnej wersji formularza umieszczonego na naszych stronach web.</v>
      </c>
      <c r="B118" t="s">
        <v>1789</v>
      </c>
      <c r="C118" t="s">
        <v>1790</v>
      </c>
      <c r="D118" t="s">
        <v>1791</v>
      </c>
      <c r="E118" t="s">
        <v>1792</v>
      </c>
    </row>
    <row r="119" spans="1:5" x14ac:dyDescent="0.2">
      <c r="A119" s="181" t="str">
        <f t="shared" si="1"/>
        <v>Zapisane zamówienie wyślij pod adres</v>
      </c>
      <c r="B119" t="s">
        <v>1794</v>
      </c>
      <c r="C119" t="s">
        <v>1795</v>
      </c>
      <c r="D119" t="s">
        <v>1796</v>
      </c>
      <c r="E119" t="s">
        <v>1797</v>
      </c>
    </row>
    <row r="120" spans="1:5" x14ac:dyDescent="0.2">
      <c r="A120" s="181" t="str">
        <f t="shared" si="1"/>
        <v>zamowienia@demos-trade.com</v>
      </c>
      <c r="B120" t="s">
        <v>1798</v>
      </c>
      <c r="C120" t="s">
        <v>1798</v>
      </c>
      <c r="D120" t="s">
        <v>1799</v>
      </c>
      <c r="E120" t="s">
        <v>1800</v>
      </c>
    </row>
    <row r="121" spans="1:5" x14ac:dyDescent="0.2">
      <c r="A121" s="181" t="str">
        <f t="shared" si="1"/>
        <v>Formularz składa się z kilku stron, które można przełączać w dolnej części.</v>
      </c>
      <c r="B121" s="128" t="s">
        <v>1793</v>
      </c>
      <c r="C121" t="s">
        <v>1801</v>
      </c>
      <c r="D121" t="s">
        <v>1802</v>
      </c>
      <c r="E121" t="s">
        <v>1803</v>
      </c>
    </row>
    <row r="122" spans="1:5" x14ac:dyDescent="0.2">
      <c r="A122" s="181" t="str">
        <f t="shared" si="1"/>
        <v>Do formularza należy zapisać wyłącznie rozmiary wewnętrzne szafki (rozmiary zewnętrzne służą do kontroli)</v>
      </c>
      <c r="B122" s="41" t="s">
        <v>1804</v>
      </c>
      <c r="C122" t="s">
        <v>1878</v>
      </c>
      <c r="D122" t="s">
        <v>1877</v>
      </c>
      <c r="E122" t="s">
        <v>1879</v>
      </c>
    </row>
    <row r="123" spans="1:5" x14ac:dyDescent="0.2">
      <c r="A123" s="181" t="str">
        <f t="shared" si="1"/>
        <v>W wypadku, kiedy któraś z pozycji jest na zamówienie, minimalny odbiór wyłącznie w pełnych opakowaniach</v>
      </c>
      <c r="B123" s="41" t="s">
        <v>1805</v>
      </c>
      <c r="C123" t="s">
        <v>1881</v>
      </c>
      <c r="D123" t="s">
        <v>1880</v>
      </c>
      <c r="E123" t="s">
        <v>1882</v>
      </c>
    </row>
    <row r="124" spans="1:5" x14ac:dyDescent="0.2">
      <c r="A124" s="181" t="str">
        <f t="shared" si="1"/>
        <v>Do rolet pionowych powyżej 500mm zalecamy zastosowanie odpowiedniego mechanizmu (C3, C6, C8, Caddy)</v>
      </c>
      <c r="B124" s="41" t="s">
        <v>1835</v>
      </c>
      <c r="C124" t="s">
        <v>1884</v>
      </c>
      <c r="D124" t="s">
        <v>1883</v>
      </c>
      <c r="E124" t="s">
        <v>1885</v>
      </c>
    </row>
    <row r="125" spans="1:5" x14ac:dyDescent="0.2">
      <c r="A125" s="181" t="str">
        <f t="shared" si="1"/>
        <v>Formularz służy jako pomoc do konfiguracji, do właściwego działania rolety zawsze należy kierować się zaleceniami producenta (Rehau)</v>
      </c>
      <c r="B125" s="41" t="s">
        <v>1833</v>
      </c>
      <c r="C125" t="s">
        <v>1887</v>
      </c>
      <c r="D125" t="s">
        <v>1886</v>
      </c>
      <c r="E125" t="s">
        <v>1888</v>
      </c>
    </row>
    <row r="126" spans="1:5" x14ac:dyDescent="0.2">
      <c r="A126" s="181" t="str">
        <f t="shared" si="1"/>
        <v>Telefon kontaktowy</v>
      </c>
      <c r="B126" s="128" t="s">
        <v>1810</v>
      </c>
      <c r="C126" t="s">
        <v>1811</v>
      </c>
      <c r="D126" t="s">
        <v>1812</v>
      </c>
      <c r="E126" t="s">
        <v>1813</v>
      </c>
    </row>
    <row r="127" spans="1:5" x14ac:dyDescent="0.2">
      <c r="A127" s="181" t="str">
        <f t="shared" si="1"/>
        <v>Adres e-mail</v>
      </c>
      <c r="B127" s="128" t="s">
        <v>1814</v>
      </c>
      <c r="C127" t="s">
        <v>1815</v>
      </c>
      <c r="D127" t="s">
        <v>1816</v>
      </c>
      <c r="E127" t="s">
        <v>1817</v>
      </c>
    </row>
    <row r="128" spans="1:5" x14ac:dyDescent="0.2">
      <c r="A128" s="181" t="str">
        <f t="shared" si="1"/>
        <v>Adres</v>
      </c>
      <c r="B128" s="280" t="s">
        <v>1818</v>
      </c>
      <c r="C128" s="41" t="s">
        <v>1818</v>
      </c>
      <c r="D128" s="41" t="s">
        <v>1819</v>
      </c>
      <c r="E128" s="41" t="s">
        <v>1820</v>
      </c>
    </row>
    <row r="129" spans="1:6" x14ac:dyDescent="0.2">
      <c r="A129" s="181" t="str">
        <f t="shared" si="1"/>
        <v>Wpisz proszę dane kontaktowe i kliknij w okienko zamawianie żaluzji.</v>
      </c>
      <c r="B129" s="41" t="s">
        <v>1830</v>
      </c>
      <c r="C129" s="41" t="s">
        <v>1831</v>
      </c>
      <c r="D129" s="41" t="s">
        <v>1832</v>
      </c>
      <c r="E129" t="s">
        <v>1822</v>
      </c>
    </row>
    <row r="130" spans="1:6" x14ac:dyDescent="0.2">
      <c r="A130" s="181" t="str">
        <f t="shared" si="1"/>
        <v>Poprzez zapisanie danych potwierdzasz, że zapoznałeś się z podanymi niżej informacjami!</v>
      </c>
      <c r="B130" t="s">
        <v>1823</v>
      </c>
      <c r="C130" t="s">
        <v>1824</v>
      </c>
      <c r="D130" t="s">
        <v>1825</v>
      </c>
      <c r="E130" s="305" t="s">
        <v>1889</v>
      </c>
    </row>
    <row r="131" spans="1:6" x14ac:dyDescent="0.2">
      <c r="A131" s="181" t="str">
        <f t="shared" ref="A131:A177" si="2">IF($A$1=1,B:B,IF($A$1=2,C:C,IF($A$1=3,D:D,IF($A$1=4,E:E))))</f>
        <v>Formularz zamowieniowy rolet Rehau</v>
      </c>
      <c r="B131" s="41" t="s">
        <v>1826</v>
      </c>
      <c r="C131" s="41" t="s">
        <v>1827</v>
      </c>
      <c r="D131" s="41" t="s">
        <v>1828</v>
      </c>
      <c r="E131" s="41" t="s">
        <v>1829</v>
      </c>
      <c r="F131" s="41"/>
    </row>
    <row r="132" spans="1:6" x14ac:dyDescent="0.2">
      <c r="A132" s="181" t="str">
        <f t="shared" si="2"/>
        <v>W formularzu nie zawsze są dokładnie podane ograniczenia maksymalnych rozmiarów szafki, należy zatem dotrzymywać zalecenia producenta (Rehau)</v>
      </c>
      <c r="B132" s="181" t="s">
        <v>1834</v>
      </c>
      <c r="C132" s="181" t="s">
        <v>1891</v>
      </c>
      <c r="D132" s="181" t="s">
        <v>1890</v>
      </c>
      <c r="E132" s="305" t="s">
        <v>1892</v>
      </c>
    </row>
    <row r="133" spans="1:6" x14ac:dyDescent="0.2">
      <c r="A133" s="181" t="str">
        <f t="shared" si="2"/>
        <v>Aluminium (metallic-line)</v>
      </c>
      <c r="B133" s="183" t="s">
        <v>1836</v>
      </c>
      <c r="C133" s="183" t="s">
        <v>1836</v>
      </c>
      <c r="D133" s="181" t="s">
        <v>1838</v>
      </c>
      <c r="E133" s="183" t="s">
        <v>1840</v>
      </c>
    </row>
    <row r="134" spans="1:6" x14ac:dyDescent="0.2">
      <c r="A134" s="181" t="str">
        <f t="shared" si="2"/>
        <v>Nierdz. (metallic-line)</v>
      </c>
      <c r="B134" s="183" t="s">
        <v>1837</v>
      </c>
      <c r="C134" s="183" t="s">
        <v>1837</v>
      </c>
      <c r="D134" s="181" t="s">
        <v>1839</v>
      </c>
      <c r="E134" s="183" t="s">
        <v>1841</v>
      </c>
    </row>
    <row r="135" spans="1:6" x14ac:dyDescent="0.2">
      <c r="A135" s="181" t="str">
        <f t="shared" si="2"/>
        <v>Maksymalna zalecana długość profili roletowych zapisanych w formularzu (szerokość maty roletowej) jest 1200 mm</v>
      </c>
      <c r="B135" t="s">
        <v>1842</v>
      </c>
      <c r="C135" t="s">
        <v>1894</v>
      </c>
      <c r="D135" t="s">
        <v>1893</v>
      </c>
      <c r="E135" s="305" t="s">
        <v>1895</v>
      </c>
    </row>
    <row r="136" spans="1:6" x14ac:dyDescent="0.2">
      <c r="A136" s="181" t="str">
        <f t="shared" si="2"/>
        <v>Jeżeli w formularzu po zapisaniu konkretnych danych nie pojawia się kwota końcowa, chodzi o błędną kombinację /połączenie danych/ (należy zwrócić się o pomoc do technika)</v>
      </c>
      <c r="B136" t="s">
        <v>1843</v>
      </c>
      <c r="C136" t="s">
        <v>1897</v>
      </c>
      <c r="D136" t="s">
        <v>1896</v>
      </c>
      <c r="E136" s="305" t="s">
        <v>1898</v>
      </c>
    </row>
    <row r="137" spans="1:6" x14ac:dyDescent="0.2">
      <c r="A137" s="181" t="str">
        <f t="shared" si="2"/>
        <v>(zmianę danych można przeprowadzić na stronie wstępnej formularza)</v>
      </c>
      <c r="B137" s="24" t="s">
        <v>2305</v>
      </c>
      <c r="C137" t="s">
        <v>1900</v>
      </c>
      <c r="D137" t="s">
        <v>1899</v>
      </c>
      <c r="E137" s="306" t="s">
        <v>1901</v>
      </c>
    </row>
    <row r="138" spans="1:6" x14ac:dyDescent="0.2">
      <c r="A138" s="184" t="str">
        <f t="shared" si="2"/>
        <v>Wprowadzenie</v>
      </c>
      <c r="B138" s="185" t="s">
        <v>1903</v>
      </c>
      <c r="C138" s="185" t="s">
        <v>1903</v>
      </c>
      <c r="D138" s="185" t="s">
        <v>1902</v>
      </c>
      <c r="E138" s="185" t="s">
        <v>1904</v>
      </c>
      <c r="F138" s="185"/>
    </row>
    <row r="139" spans="1:6" x14ac:dyDescent="0.2">
      <c r="A139" s="181" t="str">
        <f t="shared" si="2"/>
        <v>śnieżno biala mat (E9)</v>
      </c>
      <c r="B139" s="321" t="s">
        <v>2173</v>
      </c>
      <c r="C139" s="321" t="s">
        <v>2277</v>
      </c>
      <c r="D139" s="321" t="s">
        <v>2342</v>
      </c>
      <c r="E139" s="321" t="s">
        <v>2278</v>
      </c>
    </row>
    <row r="140" spans="1:6" x14ac:dyDescent="0.2">
      <c r="A140" s="181" t="str">
        <f t="shared" si="2"/>
        <v>Aluminowa plastik (E4)</v>
      </c>
      <c r="B140" s="321" t="s">
        <v>2004</v>
      </c>
      <c r="C140" s="321" t="s">
        <v>2004</v>
      </c>
      <c r="D140" s="181" t="s">
        <v>2275</v>
      </c>
      <c r="E140" s="183" t="s">
        <v>2276</v>
      </c>
    </row>
    <row r="141" spans="1:6" x14ac:dyDescent="0.2">
      <c r="A141" s="181" t="str">
        <f t="shared" si="2"/>
        <v xml:space="preserve">Rodzaje profili roletowych </v>
      </c>
      <c r="B141" s="348" t="s">
        <v>2157</v>
      </c>
      <c r="C141" t="s">
        <v>2225</v>
      </c>
      <c r="D141" s="325" t="s">
        <v>2250</v>
      </c>
      <c r="E141" s="326" t="s">
        <v>2251</v>
      </c>
    </row>
    <row r="142" spans="1:6" x14ac:dyDescent="0.2">
      <c r="A142" s="181" t="str">
        <f t="shared" si="2"/>
        <v>Kolor śnieżno biały w profilu E9 można łączyć jedynie z prowadzeniem Classic i systemem nawijania do tyłu</v>
      </c>
      <c r="B142" s="348" t="s">
        <v>2216</v>
      </c>
      <c r="C142" t="s">
        <v>2226</v>
      </c>
      <c r="D142" s="325" t="s">
        <v>2343</v>
      </c>
      <c r="E142" s="326" t="s">
        <v>2252</v>
      </c>
    </row>
    <row r="143" spans="1:6" x14ac:dyDescent="0.2">
      <c r="A143" s="181" t="str">
        <f t="shared" si="2"/>
        <v>Kolor aluminium plastik w profilu E4 jest idealny do poziomych rozwiązań w kombinacji z prowadzeniem Classic z systemem nawijania do tyłu</v>
      </c>
      <c r="B143" t="s">
        <v>2219</v>
      </c>
      <c r="C143" t="s">
        <v>2227</v>
      </c>
      <c r="D143" s="325" t="s">
        <v>2273</v>
      </c>
      <c r="E143" s="326" t="s">
        <v>2274</v>
      </c>
    </row>
    <row r="144" spans="1:6" x14ac:dyDescent="0.2">
      <c r="A144" s="181" t="str">
        <f t="shared" si="2"/>
        <v>Systemu prowadzenia TOP BASIC nie da się zastosować z roletowym profilem Metallic line. Należy wybrać wersję TOP.</v>
      </c>
      <c r="B144" t="s">
        <v>2201</v>
      </c>
      <c r="C144" t="s">
        <v>2228</v>
      </c>
      <c r="D144" s="325" t="s">
        <v>2265</v>
      </c>
      <c r="E144" s="326" t="s">
        <v>2266</v>
      </c>
    </row>
    <row r="145" spans="1:5" x14ac:dyDescent="0.2">
      <c r="A145" s="181" t="str">
        <f t="shared" si="2"/>
        <v>Koloru BUK w profilu E23 nie da się łączyć z prowadzeniem FRAME.</v>
      </c>
      <c r="B145" s="348" t="s">
        <v>2200</v>
      </c>
      <c r="C145" t="s">
        <v>2229</v>
      </c>
      <c r="D145" s="325" t="s">
        <v>2253</v>
      </c>
      <c r="E145" s="326" t="s">
        <v>2254</v>
      </c>
    </row>
    <row r="146" spans="1:5" x14ac:dyDescent="0.2">
      <c r="A146" s="181" t="str">
        <f t="shared" si="2"/>
        <v>Nakładany system prowadzenia z metalic-line 29 mm i mechanizmem C3 można łączyć jedynie z systemem nawijania przez mechanike C3</v>
      </c>
      <c r="B146" s="348" t="s">
        <v>2204</v>
      </c>
      <c r="C146" t="s">
        <v>2230</v>
      </c>
      <c r="D146" s="325" t="s">
        <v>2255</v>
      </c>
      <c r="E146" s="326" t="s">
        <v>2256</v>
      </c>
    </row>
    <row r="147" spans="1:5" x14ac:dyDescent="0.2">
      <c r="A147" s="181" t="str">
        <f t="shared" si="2"/>
        <v>Systemu TOP BASIC nie da się zastosować z ślimakiem roletowym. Zalecamy wybrać wersję TOP.</v>
      </c>
      <c r="B147" s="348" t="s">
        <v>2220</v>
      </c>
      <c r="C147" t="s">
        <v>2231</v>
      </c>
      <c r="D147" s="325" t="s">
        <v>2257</v>
      </c>
      <c r="E147" s="326" t="s">
        <v>2258</v>
      </c>
    </row>
    <row r="148" spans="1:5" x14ac:dyDescent="0.2">
      <c r="A148" s="181" t="str">
        <f t="shared" si="2"/>
        <v xml:space="preserve">Maksymalna zalecana wysokość przy poziomym ruchu żaluzji w połączeniu z profilem E4 to 1900mm. </v>
      </c>
      <c r="B148" s="348" t="s">
        <v>2199</v>
      </c>
      <c r="C148" t="s">
        <v>2237</v>
      </c>
      <c r="D148" s="325" t="s">
        <v>2271</v>
      </c>
      <c r="E148" s="326" t="s">
        <v>2272</v>
      </c>
    </row>
    <row r="149" spans="1:5" x14ac:dyDescent="0.2">
      <c r="A149" s="181" t="str">
        <f t="shared" si="2"/>
        <v>Systemu nawijania na mechanizm C3 nie można łączyć z prowadzeniem TOP BASIC bez samodzielnego dostosowywania profilu prowadzącego (zob. instrukcja). Kolejnym rozwiązaniem jest wybór prowadzenia TOP.</v>
      </c>
      <c r="B149" s="348" t="s">
        <v>2175</v>
      </c>
      <c r="C149" t="s">
        <v>2232</v>
      </c>
      <c r="D149" s="325" t="s">
        <v>2259</v>
      </c>
      <c r="E149" s="326" t="s">
        <v>2260</v>
      </c>
    </row>
    <row r="150" spans="1:5" x14ac:dyDescent="0.2">
      <c r="A150" s="181" t="str">
        <f t="shared" si="2"/>
        <v>Systemu nawijania na mechanizm C3 nie można łączyć z prowadzeniem Classic, zalecamy wybrać inny system nawijania.</v>
      </c>
      <c r="B150" s="348" t="s">
        <v>2217</v>
      </c>
      <c r="C150" t="s">
        <v>2233</v>
      </c>
      <c r="D150" s="325" t="s">
        <v>2261</v>
      </c>
      <c r="E150" s="326" t="s">
        <v>2262</v>
      </c>
    </row>
    <row r="151" spans="1:5" x14ac:dyDescent="0.2">
      <c r="A151" s="181" t="str">
        <f t="shared" si="2"/>
        <v>Nakładany system prowadzenia z metalic-line 29 mm i mechanizmem C3 zalecamy łaczyć tylko z profilem Metallic Line.</v>
      </c>
      <c r="B151" s="348" t="s">
        <v>2203</v>
      </c>
      <c r="C151" t="s">
        <v>2234</v>
      </c>
      <c r="D151" s="325" t="s">
        <v>2263</v>
      </c>
      <c r="E151" s="326" t="s">
        <v>2264</v>
      </c>
    </row>
    <row r="152" spans="1:5" x14ac:dyDescent="0.2">
      <c r="A152" s="181" t="str">
        <f t="shared" si="2"/>
        <v>Systemu prowadzenia TOP BASIC nie da się zastosować z roletowym profilem Metallic line. Należy wybrać wersję TOP.</v>
      </c>
      <c r="B152" s="348" t="s">
        <v>2201</v>
      </c>
      <c r="C152" t="s">
        <v>2228</v>
      </c>
      <c r="D152" s="325" t="s">
        <v>2265</v>
      </c>
      <c r="E152" s="326" t="s">
        <v>2266</v>
      </c>
    </row>
    <row r="153" spans="1:5" x14ac:dyDescent="0.2">
      <c r="A153" s="181" t="str">
        <f t="shared" si="2"/>
        <v>U systemu nawijania do tyłu i do ślimaka roletowego nie da się zastosować nakładanego systemu prowadzenia 29 mm i mechanizmu C3. Należy wybrać wersję FRAME.</v>
      </c>
      <c r="B153" s="348" t="s">
        <v>2202</v>
      </c>
      <c r="C153" t="s">
        <v>2235</v>
      </c>
      <c r="D153" s="325" t="s">
        <v>2267</v>
      </c>
      <c r="E153" s="326" t="s">
        <v>2268</v>
      </c>
    </row>
    <row r="154" spans="1:5" x14ac:dyDescent="0.2">
      <c r="A154" s="181" t="str">
        <f t="shared" si="2"/>
        <v>Mechanizmu C3 nie da się zastosować przy poziomym ruchu żaluzji.</v>
      </c>
      <c r="B154" s="348" t="s">
        <v>2218</v>
      </c>
      <c r="C154" t="s">
        <v>2236</v>
      </c>
      <c r="D154" s="325" t="s">
        <v>2269</v>
      </c>
      <c r="E154" s="326" t="s">
        <v>2270</v>
      </c>
    </row>
    <row r="155" spans="1:5" x14ac:dyDescent="0.2">
      <c r="A155" s="181" t="str">
        <f t="shared" si="2"/>
        <v>Do szafki nad 800mm (rozmiary wewnętrzne) zalecamy zastosowć mechanizm C3 (należy wziąć pod uwagę kombinację wysokości i szerokości).</v>
      </c>
      <c r="B155" s="348" t="s">
        <v>2292</v>
      </c>
      <c r="C155" t="s">
        <v>2295</v>
      </c>
      <c r="D155" s="325" t="s">
        <v>2298</v>
      </c>
      <c r="E155" s="326" t="s">
        <v>2301</v>
      </c>
    </row>
    <row r="156" spans="1:5" x14ac:dyDescent="0.2">
      <c r="A156" s="181" t="str">
        <f t="shared" si="2"/>
        <v>Nie zaleca się stosowania żaluzji z prowadzeniem pionowym do szafki o szerokości większej niż 1164 mm (rozmiary wewnętrzne). Rozwiązaniem jest podzielenie żaluzji lub zmiana kierunku ruchu żaluzji na poziomy.</v>
      </c>
      <c r="B156" s="348" t="s">
        <v>2293</v>
      </c>
      <c r="C156" t="s">
        <v>2296</v>
      </c>
      <c r="D156" s="325" t="s">
        <v>2299</v>
      </c>
      <c r="E156" s="326" t="s">
        <v>2302</v>
      </c>
    </row>
    <row r="157" spans="1:5" x14ac:dyDescent="0.2">
      <c r="A157" s="181" t="str">
        <f t="shared" si="2"/>
        <v>Przy poziomym ruchu żaluzji w kombinacji z roletami typu E23, E9 lub Metallic line maksymalna zalecana wysokość to 1150 mm (rozmiary wewnętrzne). Aby uzyskać wyższą wersję, musisz wybrać profil W4 w kombinacji z systemem Classic.</v>
      </c>
      <c r="B157" s="348" t="s">
        <v>2294</v>
      </c>
      <c r="C157" t="s">
        <v>2297</v>
      </c>
      <c r="D157" s="325" t="s">
        <v>2300</v>
      </c>
      <c r="E157" s="326" t="s">
        <v>2303</v>
      </c>
    </row>
    <row r="158" spans="1:5" x14ac:dyDescent="0.2">
      <c r="A158" s="181" t="str">
        <f t="shared" si="2"/>
        <v>wykończenie kolorystyczne aluminium lub stal nierdzewna</v>
      </c>
      <c r="B158" s="221" t="s">
        <v>2162</v>
      </c>
      <c r="C158" t="s">
        <v>2328</v>
      </c>
      <c r="D158" t="s">
        <v>2306</v>
      </c>
      <c r="E158" t="s">
        <v>2307</v>
      </c>
    </row>
    <row r="159" spans="1:5" x14ac:dyDescent="0.2">
      <c r="A159" s="181" t="str">
        <f t="shared" si="2"/>
        <v>Classic (w kombinacji z plastikową prowadnicą)</v>
      </c>
      <c r="B159" s="221" t="s">
        <v>2172</v>
      </c>
      <c r="C159" t="s">
        <v>2329</v>
      </c>
      <c r="D159" t="s">
        <v>2308</v>
      </c>
      <c r="E159" t="s">
        <v>2309</v>
      </c>
    </row>
    <row r="160" spans="1:5" x14ac:dyDescent="0.2">
      <c r="A160" s="181" t="str">
        <f t="shared" si="2"/>
        <v>elegancki wygląd</v>
      </c>
      <c r="B160" s="221" t="s">
        <v>2167</v>
      </c>
      <c r="C160" t="s">
        <v>2330</v>
      </c>
      <c r="D160" t="s">
        <v>2310</v>
      </c>
      <c r="E160" t="s">
        <v>2311</v>
      </c>
    </row>
    <row r="161" spans="1:5" x14ac:dyDescent="0.2">
      <c r="A161" s="181" t="str">
        <f t="shared" si="2"/>
        <v>jedynie kolor aluminium plastik</v>
      </c>
      <c r="B161" s="221" t="s">
        <v>2168</v>
      </c>
      <c r="C161" t="s">
        <v>2331</v>
      </c>
      <c r="D161" t="s">
        <v>2312</v>
      </c>
      <c r="E161" t="s">
        <v>2313</v>
      </c>
    </row>
    <row r="162" spans="1:5" x14ac:dyDescent="0.2">
      <c r="A162" s="181" t="str">
        <f t="shared" si="2"/>
        <v>wygląd metaliczny</v>
      </c>
      <c r="B162" s="221" t="s">
        <v>2161</v>
      </c>
      <c r="C162" t="s">
        <v>2332</v>
      </c>
      <c r="D162" t="s">
        <v>2314</v>
      </c>
      <c r="E162" t="s">
        <v>2315</v>
      </c>
    </row>
    <row r="163" spans="1:5" x14ac:dyDescent="0.2">
      <c r="A163" s="181" t="str">
        <f t="shared" si="2"/>
        <v>szczebelek profilu żaluzjowego jest zamkniety od wewnątrz</v>
      </c>
      <c r="B163" s="221" t="s">
        <v>2163</v>
      </c>
      <c r="C163" t="s">
        <v>2333</v>
      </c>
      <c r="D163" t="s">
        <v>2316</v>
      </c>
      <c r="E163" t="s">
        <v>2317</v>
      </c>
    </row>
    <row r="164" spans="1:5" x14ac:dyDescent="0.2">
      <c r="A164" s="181" t="str">
        <f t="shared" si="2"/>
        <v>szczebelek profilu żaluzjowego jest od wewnątrz otwarty</v>
      </c>
      <c r="B164" s="221" t="s">
        <v>2164</v>
      </c>
      <c r="C164" t="s">
        <v>2334</v>
      </c>
      <c r="D164" t="s">
        <v>2318</v>
      </c>
      <c r="E164" t="s">
        <v>2319</v>
      </c>
    </row>
    <row r="165" spans="1:5" x14ac:dyDescent="0.2">
      <c r="A165" s="181" t="str">
        <f t="shared" si="2"/>
        <v>plastikowe wykończenie</v>
      </c>
      <c r="B165" s="221" t="s">
        <v>2165</v>
      </c>
      <c r="C165" t="s">
        <v>2335</v>
      </c>
      <c r="D165" t="s">
        <v>2320</v>
      </c>
      <c r="E165" t="s">
        <v>2321</v>
      </c>
    </row>
    <row r="166" spans="1:5" x14ac:dyDescent="0.2">
      <c r="A166" s="181" t="str">
        <f t="shared" si="2"/>
        <v>profile w różnych kombinacjach kolorystycznych</v>
      </c>
      <c r="B166" s="221" t="s">
        <v>2160</v>
      </c>
      <c r="C166" t="s">
        <v>2336</v>
      </c>
      <c r="D166" t="s">
        <v>2322</v>
      </c>
      <c r="E166" t="s">
        <v>2323</v>
      </c>
    </row>
    <row r="167" spans="1:5" x14ac:dyDescent="0.2">
      <c r="A167" s="181" t="str">
        <f t="shared" si="2"/>
        <v>na magazynie design w kolorze śnieżno białym</v>
      </c>
      <c r="B167" s="221" t="s">
        <v>2166</v>
      </c>
      <c r="C167" t="s">
        <v>2337</v>
      </c>
      <c r="D167" t="s">
        <v>2324</v>
      </c>
      <c r="E167" t="s">
        <v>2325</v>
      </c>
    </row>
    <row r="168" spans="1:5" x14ac:dyDescent="0.2">
      <c r="A168" s="181" t="str">
        <f t="shared" si="2"/>
        <v xml:space="preserve">odpowiednie do wysokich prowadzeń poziomych </v>
      </c>
      <c r="B168" s="221" t="s">
        <v>2169</v>
      </c>
      <c r="C168" t="s">
        <v>2338</v>
      </c>
      <c r="D168" t="s">
        <v>2326</v>
      </c>
      <c r="E168" t="s">
        <v>2327</v>
      </c>
    </row>
    <row r="169" spans="1:5" x14ac:dyDescent="0.2">
      <c r="A169" s="181" t="str">
        <f t="shared" si="2"/>
        <v>Koloru CALVADOS w profilu E23 nie da się łączyć z prowadzeniem FRAME.</v>
      </c>
      <c r="B169" s="348" t="s">
        <v>2279</v>
      </c>
      <c r="C169" s="321" t="s">
        <v>2280</v>
      </c>
      <c r="D169" s="325" t="s">
        <v>2281</v>
      </c>
      <c r="E169" s="326" t="s">
        <v>2282</v>
      </c>
    </row>
    <row r="170" spans="1:5" x14ac:dyDescent="0.2">
      <c r="A170" s="181" t="str">
        <f t="shared" si="2"/>
        <v>Koloru Czereśnia havana w profilu E23 nie da się łączyć z prowadzeniem FRAME.</v>
      </c>
      <c r="B170" s="348" t="s">
        <v>2283</v>
      </c>
      <c r="C170" s="321" t="s">
        <v>2284</v>
      </c>
      <c r="D170" s="325" t="s">
        <v>2285</v>
      </c>
      <c r="E170" s="326" t="s">
        <v>2286</v>
      </c>
    </row>
    <row r="171" spans="1:5" x14ac:dyDescent="0.2">
      <c r="A171" s="181" t="str">
        <f t="shared" si="2"/>
        <v>przy prowadzeniu pionowym z mechanizmem C3 zalecane wymiary korpusu to: szerokość 364-1164mm i wysokość  614-2164mm (rozmiary wewnętrzne)</v>
      </c>
      <c r="B171" s="221" t="s">
        <v>2304</v>
      </c>
      <c r="C171" t="s">
        <v>2339</v>
      </c>
      <c r="D171" t="s">
        <v>2340</v>
      </c>
      <c r="E171" t="s">
        <v>2341</v>
      </c>
    </row>
    <row r="172" spans="1:5" x14ac:dyDescent="0.2">
      <c r="A172" s="181" t="str">
        <f t="shared" si="2"/>
        <v>rozmiary wewnętrzne</v>
      </c>
      <c r="B172" s="221" t="s">
        <v>2288</v>
      </c>
      <c r="C172" t="s">
        <v>2290</v>
      </c>
      <c r="D172" t="s">
        <v>2291</v>
      </c>
      <c r="E172" t="s">
        <v>2289</v>
      </c>
    </row>
    <row r="173" spans="1:5" ht="36" x14ac:dyDescent="0.2">
      <c r="A173" s="181" t="str">
        <f t="shared" si="2"/>
        <v>Nakładany system prowadzenia (29 mm). Chodzi o prowadzenie w kolorze aluminium lub stali nierdzewnej w profilu Metallic line i w kombinacji z mechanizmem C3. 
Prowadnice należy przed montażem przygotować zgodnie z rysunkiem poniżej.</v>
      </c>
      <c r="B173" s="348" t="s">
        <v>2349</v>
      </c>
      <c r="C173" t="s">
        <v>2351</v>
      </c>
      <c r="D173" s="375" t="s">
        <v>2353</v>
      </c>
      <c r="E173" s="326" t="s">
        <v>2354</v>
      </c>
    </row>
    <row r="174" spans="1:5" x14ac:dyDescent="0.2">
      <c r="A174" s="181" t="str">
        <f t="shared" si="2"/>
        <v>Przy zastosowaniu nakładanego prowadzenia 29 mm do Metallic line w kombinacji z mechanizmem C3, prowadnice należy przygotować zgodnie z rysunkiem w zakładce Instrukcja</v>
      </c>
      <c r="B174" t="s">
        <v>2350</v>
      </c>
      <c r="C174" t="s">
        <v>2352</v>
      </c>
      <c r="D174" s="24" t="s">
        <v>2355</v>
      </c>
      <c r="E174" s="326" t="s">
        <v>2356</v>
      </c>
    </row>
    <row r="175" spans="1:5" x14ac:dyDescent="0.2">
      <c r="A175" s="181" t="str">
        <f t="shared" si="2"/>
        <v>Koloru Brzoza w profilu E23 nie da się łączyć z prowadzeniem FRAME.</v>
      </c>
      <c r="B175" t="s">
        <v>2745</v>
      </c>
      <c r="C175" s="321" t="s">
        <v>2747</v>
      </c>
      <c r="D175" s="325" t="s">
        <v>2748</v>
      </c>
      <c r="E175" s="326" t="s">
        <v>2749</v>
      </c>
    </row>
    <row r="176" spans="1:5" x14ac:dyDescent="0.2">
      <c r="A176" s="181" t="str">
        <f t="shared" si="2"/>
        <v>Koloru Czereśnia w profilu E23 nie da się łączyć z prowadzeniem FRAME.</v>
      </c>
      <c r="B176" t="s">
        <v>2746</v>
      </c>
      <c r="C176" s="321" t="s">
        <v>2753</v>
      </c>
      <c r="D176" s="325" t="s">
        <v>2754</v>
      </c>
      <c r="E176" s="326" t="s">
        <v>2755</v>
      </c>
    </row>
    <row r="177" spans="1:5" x14ac:dyDescent="0.2">
      <c r="A177" s="181" t="str">
        <f t="shared" si="2"/>
        <v>Koloru Klon w profilu E23 nie da się łączyć z prowadzeniem FRAME.</v>
      </c>
      <c r="B177" t="s">
        <v>2756</v>
      </c>
      <c r="C177" s="321" t="s">
        <v>2750</v>
      </c>
      <c r="D177" s="325" t="s">
        <v>2751</v>
      </c>
      <c r="E177" s="326" t="s">
        <v>2752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2.75" x14ac:dyDescent="0.2"/>
  <cols>
    <col min="1" max="1" width="13.7109375" bestFit="1" customWidth="1"/>
  </cols>
  <sheetData>
    <row r="1" spans="1:5" ht="23.25" x14ac:dyDescent="0.35">
      <c r="C1" s="22" t="s">
        <v>90</v>
      </c>
    </row>
    <row r="3" spans="1:5" x14ac:dyDescent="0.2">
      <c r="A3" t="s">
        <v>91</v>
      </c>
    </row>
    <row r="4" spans="1:5" x14ac:dyDescent="0.2">
      <c r="A4" t="s">
        <v>92</v>
      </c>
    </row>
    <row r="6" spans="1:5" x14ac:dyDescent="0.2">
      <c r="A6" t="s">
        <v>93</v>
      </c>
    </row>
    <row r="7" spans="1:5" ht="13.5" thickBot="1" x14ac:dyDescent="0.25"/>
    <row r="8" spans="1:5" ht="18.75" thickBot="1" x14ac:dyDescent="0.3">
      <c r="A8" s="1" t="s">
        <v>62</v>
      </c>
      <c r="B8" s="1"/>
      <c r="D8" s="25">
        <v>0</v>
      </c>
      <c r="E8" t="s">
        <v>64</v>
      </c>
    </row>
    <row r="9" spans="1:5" ht="18" x14ac:dyDescent="0.25">
      <c r="A9" s="24" t="s">
        <v>94</v>
      </c>
      <c r="B9" s="1"/>
      <c r="D9" s="23"/>
    </row>
    <row r="10" spans="1:5" ht="12.75" customHeight="1" x14ac:dyDescent="0.25">
      <c r="A10" s="1"/>
      <c r="B10" s="1"/>
      <c r="D10" s="23"/>
    </row>
    <row r="11" spans="1:5" ht="12.75" customHeight="1" thickBot="1" x14ac:dyDescent="0.3">
      <c r="A11" s="1"/>
      <c r="B11" s="1"/>
    </row>
    <row r="12" spans="1:5" ht="18.75" thickBot="1" x14ac:dyDescent="0.3">
      <c r="A12" s="1" t="s">
        <v>66</v>
      </c>
      <c r="B12" s="1"/>
      <c r="D12" s="25">
        <v>0</v>
      </c>
      <c r="E12" t="s">
        <v>64</v>
      </c>
    </row>
    <row r="13" spans="1:5" x14ac:dyDescent="0.2">
      <c r="A13" s="24" t="s">
        <v>95</v>
      </c>
    </row>
    <row r="14" spans="1:5" x14ac:dyDescent="0.2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workbookViewId="0">
      <selection activeCell="D13" sqref="D13"/>
    </sheetView>
  </sheetViews>
  <sheetFormatPr defaultRowHeight="12.75" x14ac:dyDescent="0.2"/>
  <cols>
    <col min="1" max="2" width="10.140625" customWidth="1"/>
    <col min="4" max="4" width="13.140625" customWidth="1"/>
    <col min="5" max="5" width="13.5703125" customWidth="1"/>
    <col min="6" max="6" width="13.28515625" customWidth="1"/>
    <col min="7" max="7" width="13.85546875" customWidth="1"/>
    <col min="8" max="8" width="14" customWidth="1"/>
  </cols>
  <sheetData>
    <row r="1" spans="1:7" s="21" customFormat="1" ht="30" x14ac:dyDescent="0.4">
      <c r="D1" s="21" t="s">
        <v>65</v>
      </c>
    </row>
    <row r="3" spans="1:7" ht="30" x14ac:dyDescent="0.4">
      <c r="D3" s="16" t="s">
        <v>49</v>
      </c>
    </row>
    <row r="5" spans="1:7" ht="15.75" x14ac:dyDescent="0.25">
      <c r="A5" s="2" t="s">
        <v>10</v>
      </c>
    </row>
    <row r="6" spans="1:7" ht="6" customHeight="1" thickBot="1" x14ac:dyDescent="0.25"/>
    <row r="7" spans="1:7" ht="12.75" customHeight="1" x14ac:dyDescent="0.2">
      <c r="A7" s="403" t="s">
        <v>0</v>
      </c>
      <c r="B7" s="404"/>
      <c r="C7" s="405"/>
      <c r="D7" s="430" t="s">
        <v>2</v>
      </c>
      <c r="E7" s="430" t="s">
        <v>1</v>
      </c>
      <c r="F7" s="430" t="s">
        <v>4</v>
      </c>
      <c r="G7" s="430" t="s">
        <v>3</v>
      </c>
    </row>
    <row r="8" spans="1:7" ht="12.75" customHeight="1" x14ac:dyDescent="0.2">
      <c r="A8" s="433"/>
      <c r="B8" s="434"/>
      <c r="C8" s="435"/>
      <c r="D8" s="431"/>
      <c r="E8" s="431"/>
      <c r="F8" s="431"/>
      <c r="G8" s="431"/>
    </row>
    <row r="9" spans="1:7" ht="12.75" customHeight="1" thickBot="1" x14ac:dyDescent="0.25">
      <c r="A9" s="406"/>
      <c r="B9" s="407"/>
      <c r="C9" s="408"/>
      <c r="D9" s="432"/>
      <c r="E9" s="432"/>
      <c r="F9" s="432"/>
      <c r="G9" s="432"/>
    </row>
    <row r="10" spans="1:7" x14ac:dyDescent="0.2">
      <c r="A10" s="401" t="s">
        <v>7</v>
      </c>
      <c r="B10" s="402"/>
      <c r="C10" s="402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">
      <c r="A11" s="401" t="s">
        <v>8</v>
      </c>
      <c r="B11" s="402"/>
      <c r="C11" s="402"/>
      <c r="D11" s="8">
        <f>výpočty!I8*výpočty!G33</f>
        <v>6.1848480000000006</v>
      </c>
      <c r="E11" s="9">
        <f>výpočty!I9*výpočty!G33</f>
        <v>6.1848480000000006</v>
      </c>
      <c r="F11" s="9" t="e">
        <f>výpočty!I13*výpočty!I49</f>
        <v>#N/A</v>
      </c>
      <c r="G11" s="9">
        <f>výpočty!I10*výpočty!G33</f>
        <v>6.1848480000000006</v>
      </c>
    </row>
    <row r="12" spans="1:7" x14ac:dyDescent="0.2">
      <c r="A12" s="401" t="s">
        <v>9</v>
      </c>
      <c r="B12" s="402"/>
      <c r="C12" s="402"/>
      <c r="D12" s="10">
        <f>výpočty!K8*výpočty!D33+výpočty!E34</f>
        <v>26.406770999999999</v>
      </c>
      <c r="E12" s="9">
        <f>výpočty!K9*výpočty!D33+výpočty!E34</f>
        <v>26.406770999999999</v>
      </c>
      <c r="F12" s="9" t="e">
        <f>výpočty!K13*výpočty!E49+výpočty!F48</f>
        <v>#N/A</v>
      </c>
      <c r="G12" s="9">
        <f>výpočty!K10*výpočty!D33+výpočty!E34</f>
        <v>26.406770999999999</v>
      </c>
    </row>
    <row r="13" spans="1:7" ht="13.5" thickBot="1" x14ac:dyDescent="0.25">
      <c r="A13" s="412" t="s">
        <v>6</v>
      </c>
      <c r="B13" s="412"/>
      <c r="C13" s="413"/>
      <c r="D13" s="11">
        <f>výpočty!G8*výpočty!L33+4*výpočty!N33</f>
        <v>74.646879999999996</v>
      </c>
      <c r="E13" s="12">
        <f>výpočty!G9*výpočty!L34+4*výpočty!N34</f>
        <v>45.276469999999996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171.55571</v>
      </c>
    </row>
    <row r="14" spans="1:7" s="1" customFormat="1" ht="18.75" thickBot="1" x14ac:dyDescent="0.3">
      <c r="A14" s="409" t="s">
        <v>5</v>
      </c>
      <c r="B14" s="410"/>
      <c r="C14" s="411"/>
      <c r="D14" s="13">
        <f>SUM(D10:D13)</f>
        <v>107.23849899999999</v>
      </c>
      <c r="E14" s="13">
        <f>SUM(E10:E13)</f>
        <v>77.868088999999998</v>
      </c>
      <c r="F14" s="13" t="e">
        <f>SUM(F10:F13)</f>
        <v>#N/A</v>
      </c>
      <c r="G14" s="13">
        <f>SUM(G10:G13)</f>
        <v>204.14732900000001</v>
      </c>
    </row>
    <row r="15" spans="1:7" ht="20.25" customHeight="1" x14ac:dyDescent="0.2"/>
    <row r="16" spans="1:7" ht="15.75" x14ac:dyDescent="0.25">
      <c r="A16" s="2" t="s">
        <v>11</v>
      </c>
    </row>
    <row r="17" spans="1:8" ht="6" customHeight="1" thickBot="1" x14ac:dyDescent="0.25"/>
    <row r="18" spans="1:8" ht="12.75" customHeight="1" x14ac:dyDescent="0.2">
      <c r="A18" s="403" t="s">
        <v>0</v>
      </c>
      <c r="B18" s="404"/>
      <c r="C18" s="405"/>
      <c r="D18" s="430" t="s">
        <v>2</v>
      </c>
      <c r="E18" s="430" t="s">
        <v>1</v>
      </c>
      <c r="F18" s="430" t="s">
        <v>4</v>
      </c>
      <c r="G18" s="430" t="s">
        <v>3</v>
      </c>
    </row>
    <row r="19" spans="1:8" ht="12.75" customHeight="1" thickBot="1" x14ac:dyDescent="0.25">
      <c r="A19" s="406"/>
      <c r="B19" s="407"/>
      <c r="C19" s="408"/>
      <c r="D19" s="432"/>
      <c r="E19" s="432"/>
      <c r="F19" s="432"/>
      <c r="G19" s="432"/>
    </row>
    <row r="20" spans="1:8" ht="12.75" customHeight="1" x14ac:dyDescent="0.2">
      <c r="A20" s="401" t="s">
        <v>7</v>
      </c>
      <c r="B20" s="402"/>
      <c r="C20" s="402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">
      <c r="A21" s="401" t="s">
        <v>8</v>
      </c>
      <c r="B21" s="402"/>
      <c r="C21" s="402"/>
      <c r="D21" s="8">
        <f>výpočty!I8*výpočty!G34</f>
        <v>4.5669880000000003</v>
      </c>
      <c r="E21" s="9">
        <f>výpočty!I9*výpočty!G34</f>
        <v>4.5669880000000003</v>
      </c>
      <c r="F21" s="9">
        <f>výpočty!I13*výpočty!I48</f>
        <v>12.503451999999999</v>
      </c>
      <c r="G21" s="9">
        <f>výpočty!I10*výpočty!G34</f>
        <v>4.5669880000000003</v>
      </c>
    </row>
    <row r="22" spans="1:8" x14ac:dyDescent="0.2">
      <c r="A22" s="401" t="s">
        <v>9</v>
      </c>
      <c r="B22" s="402"/>
      <c r="C22" s="402"/>
      <c r="D22" s="10">
        <f>výpočty!K8*výpočty!D34+výpočty!E34</f>
        <v>25.264606000000001</v>
      </c>
      <c r="E22" s="9">
        <f>výpočty!K9*výpočty!D34+výpočty!E34</f>
        <v>25.264606000000001</v>
      </c>
      <c r="F22" s="9" t="e">
        <f>výpočty!K13*výpočty!E48+výpočty!F48</f>
        <v>#N/A</v>
      </c>
      <c r="G22" s="9">
        <f>výpočty!K10*výpočty!D34+výpočty!E34</f>
        <v>25.264606000000001</v>
      </c>
    </row>
    <row r="23" spans="1:8" ht="13.5" thickBot="1" x14ac:dyDescent="0.25">
      <c r="A23" s="412" t="s">
        <v>6</v>
      </c>
      <c r="B23" s="412"/>
      <c r="C23" s="413"/>
      <c r="D23" s="11">
        <f>výpočty!G8*výpočty!L33+4*výpočty!N33</f>
        <v>74.646879999999996</v>
      </c>
      <c r="E23" s="12">
        <f>výpočty!G9*výpočty!L34+4*výpočty!N34</f>
        <v>45.276469999999996</v>
      </c>
      <c r="F23" s="12">
        <f>výpočty!G13*výpočty!L33+výpočty!G14*výpočty!L41+4*výpočty!N41+výpočty!L45+výpočty!G15*výpočty!L44</f>
        <v>220.142315</v>
      </c>
      <c r="G23" s="12">
        <f>výpočty!G10*výpočty!L33+výpočty!G11*výpočty!L36+4*výpočty!N36+výpočty!G12*výpočty!L39</f>
        <v>157.22593499999999</v>
      </c>
    </row>
    <row r="24" spans="1:8" s="1" customFormat="1" ht="18.75" thickBot="1" x14ac:dyDescent="0.3">
      <c r="A24" s="409" t="s">
        <v>5</v>
      </c>
      <c r="B24" s="410"/>
      <c r="C24" s="411"/>
      <c r="D24" s="13">
        <f>SUM(D20:D23)</f>
        <v>104.47847400000001</v>
      </c>
      <c r="E24" s="14">
        <f>SUM(E20:E23)</f>
        <v>75.108063999999999</v>
      </c>
      <c r="F24" s="15" t="e">
        <f>SUM(F20:F23)</f>
        <v>#N/A</v>
      </c>
      <c r="G24" s="15">
        <f>SUM(G20:G23)</f>
        <v>187.05752899999999</v>
      </c>
    </row>
    <row r="25" spans="1:8" ht="23.25" customHeight="1" x14ac:dyDescent="0.2"/>
    <row r="26" spans="1:8" ht="15.75" x14ac:dyDescent="0.25">
      <c r="A26" s="2" t="s">
        <v>52</v>
      </c>
    </row>
    <row r="27" spans="1:8" ht="6" customHeight="1" thickBot="1" x14ac:dyDescent="0.25"/>
    <row r="28" spans="1:8" ht="12.75" customHeight="1" x14ac:dyDescent="0.2">
      <c r="A28" s="403" t="s">
        <v>0</v>
      </c>
      <c r="B28" s="404"/>
      <c r="C28" s="405"/>
      <c r="D28" s="430" t="s">
        <v>2</v>
      </c>
      <c r="E28" s="430" t="s">
        <v>1</v>
      </c>
      <c r="F28" s="430" t="s">
        <v>4</v>
      </c>
      <c r="G28" s="430" t="s">
        <v>3</v>
      </c>
      <c r="H28" s="26" t="s">
        <v>4</v>
      </c>
    </row>
    <row r="29" spans="1:8" ht="12.75" customHeight="1" thickBot="1" x14ac:dyDescent="0.25">
      <c r="A29" s="406"/>
      <c r="B29" s="407"/>
      <c r="C29" s="408"/>
      <c r="D29" s="432"/>
      <c r="E29" s="432"/>
      <c r="F29" s="432"/>
      <c r="G29" s="432"/>
      <c r="H29" s="27" t="s">
        <v>436</v>
      </c>
    </row>
    <row r="30" spans="1:8" x14ac:dyDescent="0.2">
      <c r="A30" s="401" t="s">
        <v>7</v>
      </c>
      <c r="B30" s="402"/>
      <c r="C30" s="402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0.60260999999999998</v>
      </c>
      <c r="G30" s="6">
        <f>výpočty!O10*výpočty!C35+výpočty!F33*výpočty!M10</f>
        <v>0</v>
      </c>
      <c r="H30">
        <f>výpočty!O13*výpočty!C36+výpočty!F33*výpočty!M13</f>
        <v>0.60260999999999998</v>
      </c>
    </row>
    <row r="31" spans="1:8" x14ac:dyDescent="0.2">
      <c r="A31" s="401" t="s">
        <v>8</v>
      </c>
      <c r="B31" s="402"/>
      <c r="C31" s="402"/>
      <c r="D31" s="8">
        <f>výpočty!I8*výpočty!G35</f>
        <v>11.481813000000001</v>
      </c>
      <c r="E31" s="8">
        <f>výpočty!I9*výpočty!G35</f>
        <v>11.481813000000001</v>
      </c>
      <c r="F31" s="8">
        <f>výpočty!I13*výpočty!G40</f>
        <v>18.537687000000002</v>
      </c>
      <c r="G31" s="8">
        <f>výpočty!I10*výpočty!G35</f>
        <v>11.481813000000001</v>
      </c>
      <c r="H31">
        <f>výpočty!I13*výpočty!G41</f>
        <v>25.591313</v>
      </c>
    </row>
    <row r="32" spans="1:8" x14ac:dyDescent="0.2">
      <c r="A32" s="401" t="s">
        <v>9</v>
      </c>
      <c r="B32" s="402"/>
      <c r="C32" s="402"/>
      <c r="D32" s="8">
        <f>výpočty!K8*výpočty!D35+výpočty!E59</f>
        <v>26.291857</v>
      </c>
      <c r="E32" s="8">
        <f>výpočty!K9*výpočty!D35+výpočty!E59</f>
        <v>26.291857</v>
      </c>
      <c r="F32" s="8">
        <f>výpočty!N14*výpočty!D40+výpočty!E40</f>
        <v>26.291857</v>
      </c>
      <c r="G32" s="8">
        <f>výpočty!K10*výpočty!D35+výpočty!E59</f>
        <v>26.291857</v>
      </c>
      <c r="H32">
        <f>výpočty!N14*výpočty!D41+výpočty!E40</f>
        <v>32.191794999999999</v>
      </c>
    </row>
    <row r="33" spans="1:8" ht="13.5" thickBot="1" x14ac:dyDescent="0.25">
      <c r="A33" s="412" t="s">
        <v>6</v>
      </c>
      <c r="B33" s="412"/>
      <c r="C33" s="413"/>
      <c r="D33" s="3">
        <f>výpočty!G8*výpočty!L33+4*výpočty!N33</f>
        <v>74.646879999999996</v>
      </c>
      <c r="E33" s="4">
        <f>výpočty!G9*výpočty!L34+4*výpočty!N34</f>
        <v>45.276469999999996</v>
      </c>
      <c r="F33" s="3">
        <f>výpočty!G13*výpočty!L33+výpočty!G14*výpočty!L42+4*výpočty!N42+výpočty!L45+výpočty!G15*výpočty!L44</f>
        <v>322.74766499999998</v>
      </c>
      <c r="G33" s="5">
        <f>výpočty!G10*výpočty!L33+výpočty!G11*výpočty!L37+4*výpočty!N37+výpočty!G12*výpočty!L39</f>
        <v>241.58213499999999</v>
      </c>
      <c r="H33">
        <f>výpočty!G13*výpočty!L33+výpočty!G14*výpočty!L43+4*výpočty!N43+výpočty!L45+výpočty!G15*výpočty!L44</f>
        <v>448.02091499999995</v>
      </c>
    </row>
    <row r="34" spans="1:8" s="1" customFormat="1" ht="18.75" thickBot="1" x14ac:dyDescent="0.3">
      <c r="A34" s="409" t="s">
        <v>5</v>
      </c>
      <c r="B34" s="410"/>
      <c r="C34" s="411"/>
      <c r="D34" s="13">
        <f>SUM(D30:D33)</f>
        <v>112.42054999999999</v>
      </c>
      <c r="E34" s="13">
        <f>SUM(E30:E33)</f>
        <v>83.050139999999999</v>
      </c>
      <c r="F34" s="13">
        <f>SUM(F30:F33)</f>
        <v>368.17981899999995</v>
      </c>
      <c r="G34" s="13">
        <f>SUM(G30:G33)</f>
        <v>279.35580499999998</v>
      </c>
      <c r="H34" s="13">
        <f>SUM(H30:H33)</f>
        <v>506.40663299999994</v>
      </c>
    </row>
    <row r="36" spans="1:8" ht="15.75" x14ac:dyDescent="0.25">
      <c r="A36" s="2" t="s">
        <v>53</v>
      </c>
    </row>
    <row r="37" spans="1:8" ht="6" customHeight="1" thickBot="1" x14ac:dyDescent="0.25"/>
    <row r="38" spans="1:8" ht="12.75" customHeight="1" x14ac:dyDescent="0.2">
      <c r="A38" s="403" t="s">
        <v>0</v>
      </c>
      <c r="B38" s="404"/>
      <c r="C38" s="405"/>
      <c r="D38" s="430" t="s">
        <v>2</v>
      </c>
      <c r="E38" s="430" t="s">
        <v>1</v>
      </c>
      <c r="F38" s="436" t="s">
        <v>389</v>
      </c>
      <c r="G38" s="436" t="s">
        <v>388</v>
      </c>
      <c r="H38" s="430" t="s">
        <v>3</v>
      </c>
    </row>
    <row r="39" spans="1:8" ht="12.75" customHeight="1" thickBot="1" x14ac:dyDescent="0.25">
      <c r="A39" s="406"/>
      <c r="B39" s="407"/>
      <c r="C39" s="408"/>
      <c r="D39" s="432"/>
      <c r="E39" s="432"/>
      <c r="F39" s="437"/>
      <c r="G39" s="437"/>
      <c r="H39" s="432"/>
    </row>
    <row r="40" spans="1:8" ht="13.5" thickBot="1" x14ac:dyDescent="0.25">
      <c r="A40" s="401" t="s">
        <v>7</v>
      </c>
      <c r="B40" s="402"/>
      <c r="C40" s="402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9.0391499999999994</v>
      </c>
      <c r="G40" s="19">
        <f>výpočty!O16*výpočty!C35+výpočty!F33*výpočty!M16</f>
        <v>9.0391499999999994</v>
      </c>
      <c r="H40" s="19">
        <f>výpočty!O8*výpočty!C36+výpočty!F33*výpočty!M8</f>
        <v>0</v>
      </c>
    </row>
    <row r="41" spans="1:8" ht="13.5" thickBot="1" x14ac:dyDescent="0.25">
      <c r="A41" s="401" t="s">
        <v>8</v>
      </c>
      <c r="B41" s="402"/>
      <c r="C41" s="402"/>
      <c r="D41" s="8">
        <f>výpočty!I8*výpočty!G36</f>
        <v>25.591313</v>
      </c>
      <c r="E41" s="8">
        <f>výpočty!I9*výpočty!G36</f>
        <v>25.591313</v>
      </c>
      <c r="F41" s="19">
        <f>výpočty!I13*výpočty!G41</f>
        <v>25.591313</v>
      </c>
      <c r="G41" s="19">
        <f>výpočty!I13*výpočty!G40</f>
        <v>18.537687000000002</v>
      </c>
      <c r="H41" s="19">
        <f>výpočty!I8*výpočty!G36</f>
        <v>25.591313</v>
      </c>
    </row>
    <row r="42" spans="1:8" ht="13.5" thickBot="1" x14ac:dyDescent="0.25">
      <c r="A42" s="401" t="s">
        <v>9</v>
      </c>
      <c r="B42" s="402"/>
      <c r="C42" s="402"/>
      <c r="D42" s="8">
        <f>výpočty!K8*výpočty!D36+výpočty!E60</f>
        <v>32.191794999999999</v>
      </c>
      <c r="E42" s="8">
        <f>výpočty!K9*výpočty!D36+výpočty!E60</f>
        <v>32.191794999999999</v>
      </c>
      <c r="F42" s="19">
        <f>výpočty!N14*výpočty!D41+výpočty!E40</f>
        <v>32.191794999999999</v>
      </c>
      <c r="G42" s="19">
        <f>výpočty!N14*výpočty!D40+výpočty!E40</f>
        <v>26.291857</v>
      </c>
      <c r="H42" s="19">
        <f>výpočty!K8*výpočty!D36+výpočty!E60</f>
        <v>32.191794999999999</v>
      </c>
    </row>
    <row r="43" spans="1:8" ht="13.5" thickBot="1" x14ac:dyDescent="0.25">
      <c r="A43" s="412" t="s">
        <v>6</v>
      </c>
      <c r="B43" s="412"/>
      <c r="C43" s="413"/>
      <c r="D43" s="3">
        <f>výpočty!G8*výpočty!L33+4*výpočty!N33</f>
        <v>74.646879999999996</v>
      </c>
      <c r="E43" s="4">
        <f>výpočty!G9*výpočty!L34+4*výpočty!N34</f>
        <v>45.276469999999996</v>
      </c>
      <c r="F43" s="19">
        <f>výpočty!C44+výpočty!G16*výpočty!D43</f>
        <v>100.30852</v>
      </c>
      <c r="G43" s="19">
        <f>výpočty!C44+výpočty!G16*výpočty!C43</f>
        <v>91.68817</v>
      </c>
      <c r="H43" s="19">
        <f>výpočty!G10*výpočty!L33+výpočty!G11*výpočty!L38+4*výpočty!N37+výpočty!G12*výpočty!L39</f>
        <v>340.68933499999997</v>
      </c>
    </row>
    <row r="44" spans="1:8" s="1" customFormat="1" ht="18.75" thickBot="1" x14ac:dyDescent="0.3">
      <c r="A44" s="409" t="s">
        <v>5</v>
      </c>
      <c r="B44" s="410"/>
      <c r="C44" s="411"/>
      <c r="D44" s="13">
        <f>SUM(D40:D43)</f>
        <v>132.42998799999998</v>
      </c>
      <c r="E44" s="13">
        <f>SUM(E40:E43)</f>
        <v>103.05957799999999</v>
      </c>
      <c r="F44" s="20">
        <f>SUM(F40:F43)</f>
        <v>167.13077800000002</v>
      </c>
      <c r="G44" s="20">
        <f>SUM(G40:G43)</f>
        <v>145.55686400000002</v>
      </c>
      <c r="H44" s="20">
        <f>SUM(H40:H43)</f>
        <v>398.472443</v>
      </c>
    </row>
    <row r="50" spans="1:7" ht="30" x14ac:dyDescent="0.4">
      <c r="D50" s="16" t="s">
        <v>54</v>
      </c>
    </row>
    <row r="52" spans="1:7" ht="15.75" x14ac:dyDescent="0.25">
      <c r="A52" s="2" t="s">
        <v>10</v>
      </c>
    </row>
    <row r="53" spans="1:7" ht="6" customHeight="1" thickBot="1" x14ac:dyDescent="0.25"/>
    <row r="54" spans="1:7" ht="12.75" customHeight="1" x14ac:dyDescent="0.2">
      <c r="A54" s="403" t="s">
        <v>0</v>
      </c>
      <c r="B54" s="404"/>
      <c r="C54" s="405"/>
      <c r="D54" s="430" t="s">
        <v>2</v>
      </c>
      <c r="E54" s="430" t="s">
        <v>1</v>
      </c>
      <c r="F54" s="430" t="s">
        <v>4</v>
      </c>
      <c r="G54" s="430" t="s">
        <v>3</v>
      </c>
    </row>
    <row r="55" spans="1:7" ht="12.75" customHeight="1" thickBot="1" x14ac:dyDescent="0.25">
      <c r="A55" s="406"/>
      <c r="B55" s="407"/>
      <c r="C55" s="408"/>
      <c r="D55" s="432"/>
      <c r="E55" s="432"/>
      <c r="F55" s="432"/>
      <c r="G55" s="432"/>
    </row>
    <row r="56" spans="1:7" x14ac:dyDescent="0.2">
      <c r="A56" s="401" t="s">
        <v>7</v>
      </c>
      <c r="B56" s="402"/>
      <c r="C56" s="402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">
      <c r="A57" s="401" t="s">
        <v>8</v>
      </c>
      <c r="B57" s="402"/>
      <c r="C57" s="402"/>
      <c r="D57" s="8">
        <f>výpočty!I20*výpočty!G33</f>
        <v>6.1848480000000006</v>
      </c>
      <c r="E57" s="9">
        <f>výpočty!I21*výpočty!G33</f>
        <v>6.1848480000000006</v>
      </c>
      <c r="F57" s="9" t="e">
        <f>výpočty!I25*výpočty!I49</f>
        <v>#N/A</v>
      </c>
      <c r="G57" s="9">
        <f>výpočty!I22*výpočty!G33</f>
        <v>6.1848480000000006</v>
      </c>
    </row>
    <row r="58" spans="1:7" x14ac:dyDescent="0.2">
      <c r="A58" s="401" t="s">
        <v>9</v>
      </c>
      <c r="B58" s="402"/>
      <c r="C58" s="402"/>
      <c r="D58" s="10">
        <f>výpočty!K20*výpočty!D33+výpočty!E33</f>
        <v>16.558481</v>
      </c>
      <c r="E58" s="9">
        <f>výpočty!K21*výpočty!D33+výpočty!E33</f>
        <v>16.558481</v>
      </c>
      <c r="F58" s="9" t="e">
        <f>výpočty!K25*výpočty!E49+výpočty!F48</f>
        <v>#N/A</v>
      </c>
      <c r="G58" s="9">
        <f>výpočty!K22*výpočty!D33+výpočty!E33</f>
        <v>16.558481</v>
      </c>
    </row>
    <row r="59" spans="1:7" ht="13.5" thickBot="1" x14ac:dyDescent="0.25">
      <c r="A59" s="412" t="s">
        <v>6</v>
      </c>
      <c r="B59" s="412"/>
      <c r="C59" s="413"/>
      <c r="D59" s="11">
        <f>výpočty!G20*výpočty!L33+4*výpočty!N33</f>
        <v>74.646879999999996</v>
      </c>
      <c r="E59" s="12">
        <f>výpočty!G21*výpočty!L34+4*výpočty!N34</f>
        <v>45.276469999999996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171.55571</v>
      </c>
    </row>
    <row r="60" spans="1:7" s="1" customFormat="1" ht="18.75" thickBot="1" x14ac:dyDescent="0.3">
      <c r="A60" s="409" t="s">
        <v>5</v>
      </c>
      <c r="B60" s="410"/>
      <c r="C60" s="411"/>
      <c r="D60" s="13">
        <f>SUM(D56:D59)</f>
        <v>97.390208999999999</v>
      </c>
      <c r="E60" s="13">
        <f>SUM(E56:E59)</f>
        <v>68.019799000000006</v>
      </c>
      <c r="F60" s="13" t="e">
        <f>SUM(F56:F59)</f>
        <v>#N/A</v>
      </c>
      <c r="G60" s="13">
        <f>SUM(G56:G59)</f>
        <v>194.29903899999999</v>
      </c>
    </row>
    <row r="61" spans="1:7" ht="20.25" customHeight="1" x14ac:dyDescent="0.2"/>
    <row r="62" spans="1:7" ht="15.75" x14ac:dyDescent="0.25">
      <c r="A62" s="2" t="s">
        <v>11</v>
      </c>
    </row>
    <row r="63" spans="1:7" ht="6" customHeight="1" thickBot="1" x14ac:dyDescent="0.25"/>
    <row r="64" spans="1:7" ht="12.75" customHeight="1" x14ac:dyDescent="0.2">
      <c r="A64" s="403" t="s">
        <v>0</v>
      </c>
      <c r="B64" s="404"/>
      <c r="C64" s="405"/>
      <c r="D64" s="430" t="s">
        <v>2</v>
      </c>
      <c r="E64" s="430" t="s">
        <v>1</v>
      </c>
      <c r="F64" s="430" t="s">
        <v>4</v>
      </c>
      <c r="G64" s="430" t="s">
        <v>3</v>
      </c>
    </row>
    <row r="65" spans="1:8" ht="12.75" customHeight="1" thickBot="1" x14ac:dyDescent="0.25">
      <c r="A65" s="406"/>
      <c r="B65" s="407"/>
      <c r="C65" s="408"/>
      <c r="D65" s="432"/>
      <c r="E65" s="432"/>
      <c r="F65" s="432"/>
      <c r="G65" s="432"/>
    </row>
    <row r="66" spans="1:8" x14ac:dyDescent="0.2">
      <c r="A66" s="401" t="s">
        <v>7</v>
      </c>
      <c r="B66" s="402"/>
      <c r="C66" s="402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">
      <c r="A67" s="401" t="s">
        <v>8</v>
      </c>
      <c r="B67" s="402"/>
      <c r="C67" s="402"/>
      <c r="D67" s="8">
        <f>výpočty!I20*výpočty!G34</f>
        <v>4.5669880000000003</v>
      </c>
      <c r="E67" s="9">
        <f>výpočty!I21*výpočty!G34</f>
        <v>4.5669880000000003</v>
      </c>
      <c r="F67" s="9">
        <f>výpočty!I25*výpočty!I48</f>
        <v>12.503451999999999</v>
      </c>
      <c r="G67" s="9">
        <f>výpočty!I22*výpočty!G34</f>
        <v>4.5669880000000003</v>
      </c>
    </row>
    <row r="68" spans="1:8" x14ac:dyDescent="0.2">
      <c r="A68" s="401" t="s">
        <v>9</v>
      </c>
      <c r="B68" s="402"/>
      <c r="C68" s="402"/>
      <c r="D68" s="10">
        <f>výpočty!K20*výpočty!D34+výpočty!E33</f>
        <v>15.416316000000002</v>
      </c>
      <c r="E68" s="9">
        <f>výpočty!K21*výpočty!D34+výpočty!E33</f>
        <v>15.416316000000002</v>
      </c>
      <c r="F68" s="9" t="e">
        <f>výpočty!K25*výpočty!E48+výpočty!F48</f>
        <v>#N/A</v>
      </c>
      <c r="G68" s="9">
        <f>výpočty!K22*výpočty!D34+výpočty!E33</f>
        <v>15.416316000000002</v>
      </c>
    </row>
    <row r="69" spans="1:8" ht="13.5" thickBot="1" x14ac:dyDescent="0.25">
      <c r="A69" s="412" t="s">
        <v>6</v>
      </c>
      <c r="B69" s="412"/>
      <c r="C69" s="413"/>
      <c r="D69" s="11">
        <f>výpočty!G20*výpočty!L33+4*výpočty!N33</f>
        <v>74.646879999999996</v>
      </c>
      <c r="E69" s="12">
        <f>výpočty!G21*výpočty!L34+4*výpočty!N34</f>
        <v>45.276469999999996</v>
      </c>
      <c r="F69" s="12">
        <f>výpočty!G25*výpočty!L33+výpočty!G26*výpočty!L41+4*výpočty!N41+výpočty!L45+výpočty!G27*výpočty!L44</f>
        <v>220.142315</v>
      </c>
      <c r="G69" s="12">
        <f>výpočty!G22*výpočty!L33+výpočty!G23*výpočty!L36+4*výpočty!N36+výpočty!G24*výpočty!L39</f>
        <v>157.22593499999999</v>
      </c>
    </row>
    <row r="70" spans="1:8" s="1" customFormat="1" ht="18.75" thickBot="1" x14ac:dyDescent="0.3">
      <c r="A70" s="409" t="s">
        <v>5</v>
      </c>
      <c r="B70" s="410"/>
      <c r="C70" s="411"/>
      <c r="D70" s="13">
        <f>SUM(D66:D69)</f>
        <v>94.630184</v>
      </c>
      <c r="E70" s="14">
        <f>SUM(E66:E69)</f>
        <v>65.259773999999993</v>
      </c>
      <c r="F70" s="15" t="e">
        <f>SUM(F66:F69)</f>
        <v>#N/A</v>
      </c>
      <c r="G70" s="15">
        <f>SUM(G66:G69)</f>
        <v>177.209239</v>
      </c>
    </row>
    <row r="71" spans="1:8" ht="23.25" customHeight="1" x14ac:dyDescent="0.2"/>
    <row r="72" spans="1:8" ht="15.75" x14ac:dyDescent="0.25">
      <c r="A72" s="2" t="s">
        <v>52</v>
      </c>
    </row>
    <row r="73" spans="1:8" ht="6" customHeight="1" thickBot="1" x14ac:dyDescent="0.25"/>
    <row r="74" spans="1:8" ht="12.75" customHeight="1" x14ac:dyDescent="0.2">
      <c r="A74" s="403" t="s">
        <v>0</v>
      </c>
      <c r="B74" s="404"/>
      <c r="C74" s="405"/>
      <c r="D74" s="430" t="s">
        <v>2</v>
      </c>
      <c r="E74" s="430" t="s">
        <v>1</v>
      </c>
      <c r="F74" s="430" t="s">
        <v>4</v>
      </c>
      <c r="G74" s="430" t="s">
        <v>3</v>
      </c>
      <c r="H74" s="26" t="s">
        <v>4</v>
      </c>
    </row>
    <row r="75" spans="1:8" ht="12.75" customHeight="1" thickBot="1" x14ac:dyDescent="0.25">
      <c r="A75" s="406"/>
      <c r="B75" s="407"/>
      <c r="C75" s="408"/>
      <c r="D75" s="432"/>
      <c r="E75" s="432"/>
      <c r="F75" s="432"/>
      <c r="G75" s="432"/>
      <c r="H75" s="27" t="s">
        <v>436</v>
      </c>
    </row>
    <row r="76" spans="1:8" x14ac:dyDescent="0.2">
      <c r="A76" s="401" t="s">
        <v>7</v>
      </c>
      <c r="B76" s="402"/>
      <c r="C76" s="402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0.60260999999999998</v>
      </c>
      <c r="G76" s="6">
        <f>výpočty!O22*výpočty!C35+výpočty!F33*výpočty!M22</f>
        <v>0</v>
      </c>
      <c r="H76">
        <f>výpočty!O25*výpočty!C36+výpočty!F33*výpočty!M25</f>
        <v>0.60260999999999998</v>
      </c>
    </row>
    <row r="77" spans="1:8" x14ac:dyDescent="0.2">
      <c r="A77" s="401" t="s">
        <v>8</v>
      </c>
      <c r="B77" s="402"/>
      <c r="C77" s="402"/>
      <c r="D77" s="8">
        <f>výpočty!I20*výpočty!G35</f>
        <v>11.481813000000001</v>
      </c>
      <c r="E77" s="8">
        <f>výpočty!I21*výpočty!G35</f>
        <v>11.481813000000001</v>
      </c>
      <c r="F77" s="8">
        <f>výpočty!I25*výpočty!G40</f>
        <v>18.537687000000002</v>
      </c>
      <c r="G77" s="8">
        <f>výpočty!I22*výpočty!G35</f>
        <v>11.481813000000001</v>
      </c>
      <c r="H77">
        <f>výpočty!I25*výpočty!G41</f>
        <v>25.591313</v>
      </c>
    </row>
    <row r="78" spans="1:8" x14ac:dyDescent="0.2">
      <c r="A78" s="401" t="s">
        <v>9</v>
      </c>
      <c r="B78" s="402"/>
      <c r="C78" s="402"/>
      <c r="D78" s="8">
        <f>výpočty!K20*výpočty!D35+výpočty!E59</f>
        <v>26.291857</v>
      </c>
      <c r="E78" s="8">
        <f>výpočty!K21*výpočty!D35+výpočty!E59</f>
        <v>26.291857</v>
      </c>
      <c r="F78" s="8">
        <f>výpočty!N26*výpočty!D40+výpočty!E40</f>
        <v>26.291857</v>
      </c>
      <c r="G78" s="8">
        <f>výpočty!K22*výpočty!D35+výpočty!E59</f>
        <v>26.291857</v>
      </c>
      <c r="H78">
        <f>výpočty!N26*výpočty!D41+výpočty!E40</f>
        <v>32.191794999999999</v>
      </c>
    </row>
    <row r="79" spans="1:8" ht="13.5" thickBot="1" x14ac:dyDescent="0.25">
      <c r="A79" s="412" t="s">
        <v>6</v>
      </c>
      <c r="B79" s="412"/>
      <c r="C79" s="413"/>
      <c r="D79" s="3">
        <f>výpočty!G20*výpočty!L33+4*výpočty!N33</f>
        <v>74.646879999999996</v>
      </c>
      <c r="E79" s="4">
        <f>výpočty!G21*výpočty!L34+4*výpočty!N34</f>
        <v>45.276469999999996</v>
      </c>
      <c r="F79" s="3">
        <f>výpočty!G25*výpočty!L33+výpočty!G26*výpočty!L42+4*výpočty!N42+výpočty!L45+výpočty!G27*výpočty!L44</f>
        <v>322.74766499999998</v>
      </c>
      <c r="G79" s="5">
        <f>výpočty!G22*výpočty!L33+výpočty!G23*výpočty!L37+4*výpočty!N37+výpočty!G24*výpočty!L39</f>
        <v>241.58213499999999</v>
      </c>
      <c r="H79">
        <f>výpočty!G25*výpočty!L33+výpočty!G26*výpočty!L43+4*výpočty!N42+výpočty!L45+výpočty!G27*výpočty!L44</f>
        <v>448.02091499999995</v>
      </c>
    </row>
    <row r="80" spans="1:8" s="1" customFormat="1" ht="18.75" thickBot="1" x14ac:dyDescent="0.3">
      <c r="A80" s="409" t="s">
        <v>5</v>
      </c>
      <c r="B80" s="410"/>
      <c r="C80" s="411"/>
      <c r="D80" s="13">
        <f>SUM(D76:D79)</f>
        <v>112.42054999999999</v>
      </c>
      <c r="E80" s="13">
        <f>SUM(E76:E79)</f>
        <v>83.050139999999999</v>
      </c>
      <c r="F80" s="13">
        <f>SUM(F76:F79)</f>
        <v>368.17981899999995</v>
      </c>
      <c r="G80" s="13">
        <f>SUM(G76:G79)</f>
        <v>279.35580499999998</v>
      </c>
      <c r="H80" s="13">
        <f>SUM(H76:H79)</f>
        <v>506.40663299999994</v>
      </c>
    </row>
    <row r="82" spans="1:8" ht="15.75" x14ac:dyDescent="0.25">
      <c r="A82" s="2" t="s">
        <v>53</v>
      </c>
    </row>
    <row r="83" spans="1:8" ht="6" customHeight="1" thickBot="1" x14ac:dyDescent="0.25"/>
    <row r="84" spans="1:8" ht="12.75" customHeight="1" x14ac:dyDescent="0.2">
      <c r="A84" s="403" t="s">
        <v>0</v>
      </c>
      <c r="B84" s="404"/>
      <c r="C84" s="405"/>
      <c r="D84" s="430" t="s">
        <v>2</v>
      </c>
      <c r="E84" s="430" t="s">
        <v>1</v>
      </c>
      <c r="F84" s="436" t="s">
        <v>389</v>
      </c>
      <c r="G84" s="436" t="s">
        <v>388</v>
      </c>
      <c r="H84" s="430" t="s">
        <v>3</v>
      </c>
    </row>
    <row r="85" spans="1:8" ht="12.75" customHeight="1" thickBot="1" x14ac:dyDescent="0.25">
      <c r="A85" s="406"/>
      <c r="B85" s="407"/>
      <c r="C85" s="408"/>
      <c r="D85" s="432"/>
      <c r="E85" s="432"/>
      <c r="F85" s="437"/>
      <c r="G85" s="437"/>
      <c r="H85" s="432"/>
    </row>
    <row r="86" spans="1:8" ht="13.5" thickBot="1" x14ac:dyDescent="0.25">
      <c r="A86" s="401" t="s">
        <v>7</v>
      </c>
      <c r="B86" s="402"/>
      <c r="C86" s="402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0.60260999999999998</v>
      </c>
      <c r="G86" s="19">
        <f>výpočty!O25*výpočty!C35+výpočty!F33*výpočty!M25</f>
        <v>0.60260999999999998</v>
      </c>
      <c r="H86" s="19">
        <f>výpočty!O20*výpočty!C36+výpočty!F33*výpočty!M20</f>
        <v>0</v>
      </c>
    </row>
    <row r="87" spans="1:8" ht="13.5" thickBot="1" x14ac:dyDescent="0.25">
      <c r="A87" s="401" t="s">
        <v>8</v>
      </c>
      <c r="B87" s="402"/>
      <c r="C87" s="402"/>
      <c r="D87" s="8">
        <f>výpočty!I20*výpočty!G36</f>
        <v>25.591313</v>
      </c>
      <c r="E87" s="8">
        <f>výpočty!I21*výpočty!G36</f>
        <v>25.591313</v>
      </c>
      <c r="F87" s="19">
        <f>výpočty!I25*výpočty!G41</f>
        <v>25.591313</v>
      </c>
      <c r="G87" s="19">
        <f>výpočty!I25*výpočty!G40</f>
        <v>18.537687000000002</v>
      </c>
      <c r="H87" s="19">
        <f>výpočty!I20*výpočty!G36</f>
        <v>25.591313</v>
      </c>
    </row>
    <row r="88" spans="1:8" ht="13.5" thickBot="1" x14ac:dyDescent="0.25">
      <c r="A88" s="401" t="s">
        <v>9</v>
      </c>
      <c r="B88" s="402"/>
      <c r="C88" s="402"/>
      <c r="D88" s="8">
        <f>výpočty!K20*výpočty!D36+výpočty!E60</f>
        <v>32.191794999999999</v>
      </c>
      <c r="E88" s="8">
        <f>výpočty!K21*výpočty!D36+výpočty!E60</f>
        <v>32.191794999999999</v>
      </c>
      <c r="F88" s="19">
        <f>výpočty!N26*výpočty!D41+výpočty!E40</f>
        <v>32.191794999999999</v>
      </c>
      <c r="G88" s="19">
        <f>výpočty!N26*výpočty!D40+výpočty!E40</f>
        <v>26.291857</v>
      </c>
      <c r="H88" s="19">
        <f>výpočty!K20*výpočty!D36+výpočty!E60</f>
        <v>32.191794999999999</v>
      </c>
    </row>
    <row r="89" spans="1:8" ht="13.5" thickBot="1" x14ac:dyDescent="0.25">
      <c r="A89" s="412" t="s">
        <v>6</v>
      </c>
      <c r="B89" s="412"/>
      <c r="C89" s="413"/>
      <c r="D89" s="3">
        <f>výpočty!G20*výpočty!L33+4*výpočty!N33</f>
        <v>74.646879999999996</v>
      </c>
      <c r="E89" s="4">
        <f>výpočty!G21*výpočty!L34+4*výpočty!N34</f>
        <v>45.276469999999996</v>
      </c>
      <c r="F89" s="19">
        <f>výpočty!G25*výpočty!L33+4*výpočty!N42+výpočty!C44+výpočty!G27*výpočty!D43</f>
        <v>178.22048000000001</v>
      </c>
      <c r="G89" s="19">
        <f>výpočty!G25*výpočty!L33+4*výpočty!N42+výpočty!C44+výpočty!G27*výpočty!C43</f>
        <v>169.60012999999998</v>
      </c>
      <c r="H89" s="19">
        <f>výpočty!G22*výpočty!L33+výpočty!G23*výpočty!L38+4*výpočty!N37+výpočty!G24*výpočty!L39</f>
        <v>340.68933499999997</v>
      </c>
    </row>
    <row r="90" spans="1:8" s="1" customFormat="1" ht="18.75" thickBot="1" x14ac:dyDescent="0.3">
      <c r="A90" s="409" t="s">
        <v>5</v>
      </c>
      <c r="B90" s="410"/>
      <c r="C90" s="411"/>
      <c r="D90" s="13">
        <f>SUM(D86:D89)</f>
        <v>132.42998799999998</v>
      </c>
      <c r="E90" s="13">
        <f>SUM(E86:E89)</f>
        <v>103.05957799999999</v>
      </c>
      <c r="F90" s="20">
        <f>SUM(F86:F89)</f>
        <v>236.60619800000001</v>
      </c>
      <c r="G90" s="20">
        <f>SUM(G86:G89)</f>
        <v>215.03228399999998</v>
      </c>
      <c r="H90" s="20">
        <f>SUM(H86:H89)</f>
        <v>398.472443</v>
      </c>
    </row>
  </sheetData>
  <sheetProtection selectLockedCells="1" selectUnlockedCells="1"/>
  <mergeCells count="82"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  <mergeCell ref="G74:G75"/>
    <mergeCell ref="A76:C76"/>
    <mergeCell ref="A77:C77"/>
    <mergeCell ref="A70:C70"/>
    <mergeCell ref="A74:C75"/>
    <mergeCell ref="D74:D75"/>
    <mergeCell ref="E74:E75"/>
    <mergeCell ref="A66:C66"/>
    <mergeCell ref="A67:C67"/>
    <mergeCell ref="A68:C68"/>
    <mergeCell ref="A69:C69"/>
    <mergeCell ref="D64:D65"/>
    <mergeCell ref="E64:E65"/>
    <mergeCell ref="F64:F65"/>
    <mergeCell ref="G64:G65"/>
    <mergeCell ref="A58:C58"/>
    <mergeCell ref="A59:C59"/>
    <mergeCell ref="A60:C60"/>
    <mergeCell ref="A64:C65"/>
    <mergeCell ref="F54:F55"/>
    <mergeCell ref="G54:G55"/>
    <mergeCell ref="A56:C56"/>
    <mergeCell ref="A57:C57"/>
    <mergeCell ref="A44:C44"/>
    <mergeCell ref="A54:C55"/>
    <mergeCell ref="D54:D55"/>
    <mergeCell ref="E54:E55"/>
    <mergeCell ref="A40:C40"/>
    <mergeCell ref="A41:C41"/>
    <mergeCell ref="A42:C42"/>
    <mergeCell ref="A43:C43"/>
    <mergeCell ref="A38:C39"/>
    <mergeCell ref="D38:D39"/>
    <mergeCell ref="E38:E39"/>
    <mergeCell ref="F38:F39"/>
    <mergeCell ref="G38:G39"/>
    <mergeCell ref="G18:G19"/>
    <mergeCell ref="F28:F29"/>
    <mergeCell ref="G28:G29"/>
    <mergeCell ref="D28:D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57150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40625" defaultRowHeight="15" x14ac:dyDescent="0.25"/>
  <cols>
    <col min="1" max="1" width="1.5703125" style="271" customWidth="1"/>
    <col min="2" max="8" width="4.85546875" style="271" customWidth="1"/>
    <col min="9" max="24" width="3.42578125" style="271" customWidth="1"/>
    <col min="25" max="26" width="4.85546875" style="271" customWidth="1"/>
    <col min="27" max="27" width="3" style="271" customWidth="1"/>
    <col min="28" max="28" width="4.85546875" style="271" customWidth="1"/>
    <col min="29" max="29" width="20" style="271" customWidth="1"/>
    <col min="30" max="30" width="10.85546875" style="271" customWidth="1"/>
    <col min="31" max="31" width="5.85546875" style="271" customWidth="1"/>
    <col min="32" max="16384" width="9.140625" style="271"/>
  </cols>
  <sheetData>
    <row r="1" spans="2:31" ht="7.5" customHeight="1" x14ac:dyDescent="0.25"/>
    <row r="2" spans="2:31" x14ac:dyDescent="0.25">
      <c r="B2" s="448" t="str">
        <f>CONCATENATE(Překlady!$A$106,"/",Překlady!$A$105)</f>
        <v>Podane ceny nie zawierają podatku VAT i obowiązują od06.01.2025/Pion.25.01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50"/>
    </row>
    <row r="3" spans="2:31" x14ac:dyDescent="0.25">
      <c r="B3" s="451" t="str">
        <f>Překlady!$A$131</f>
        <v>Formularz zamowieniowy rolet Rehau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3"/>
      <c r="Z3" s="453"/>
      <c r="AA3" s="453"/>
      <c r="AB3" s="453"/>
      <c r="AC3" s="453"/>
      <c r="AD3" s="453"/>
      <c r="AE3" s="454"/>
    </row>
    <row r="4" spans="2:31" x14ac:dyDescent="0.25">
      <c r="B4" s="451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3"/>
      <c r="Z4" s="453"/>
      <c r="AA4" s="453"/>
      <c r="AB4" s="453"/>
      <c r="AC4" s="453"/>
      <c r="AD4" s="453"/>
      <c r="AE4" s="454"/>
    </row>
    <row r="5" spans="2:31" x14ac:dyDescent="0.25">
      <c r="B5" s="451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3"/>
      <c r="Z5" s="453"/>
      <c r="AA5" s="453"/>
      <c r="AB5" s="453"/>
      <c r="AC5" s="453"/>
      <c r="AD5" s="453"/>
      <c r="AE5" s="454"/>
    </row>
    <row r="6" spans="2:31" x14ac:dyDescent="0.25">
      <c r="B6" s="451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3"/>
      <c r="Z6" s="453"/>
      <c r="AA6" s="453"/>
      <c r="AB6" s="453"/>
      <c r="AC6" s="453"/>
      <c r="AD6" s="453"/>
      <c r="AE6" s="454"/>
    </row>
    <row r="7" spans="2:31" x14ac:dyDescent="0.25">
      <c r="B7" s="451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5"/>
      <c r="Z7" s="455"/>
      <c r="AA7" s="455"/>
      <c r="AB7" s="455"/>
      <c r="AC7" s="455"/>
      <c r="AD7" s="455"/>
      <c r="AE7" s="456"/>
    </row>
    <row r="8" spans="2:31" ht="8.25" customHeight="1" x14ac:dyDescent="0.25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25">
      <c r="B9" s="457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9"/>
    </row>
    <row r="10" spans="2:31" ht="5.25" customHeight="1" x14ac:dyDescent="0.25">
      <c r="B10" s="457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9"/>
    </row>
    <row r="11" spans="2:31" ht="18.75" x14ac:dyDescent="0.3">
      <c r="B11" s="460" t="str">
        <f>Překlady!A129</f>
        <v>Wpisz proszę dane kontaktowe i kliknij w okienko zamawianie żaluzji.</v>
      </c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62"/>
    </row>
    <row r="12" spans="2:31" ht="18.75" x14ac:dyDescent="0.3">
      <c r="B12" s="463" t="str">
        <f>Překlady!$A$130</f>
        <v>Poprzez zapisanie danych potwierdzasz, że zapoznałeś się z podanymi niżej informacjami!</v>
      </c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5"/>
    </row>
    <row r="13" spans="2:31" ht="18.75" x14ac:dyDescent="0.25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25">
      <c r="B14" s="474" t="str">
        <f>Překlady!$A$4</f>
        <v>Nazwa</v>
      </c>
      <c r="C14" s="475"/>
      <c r="D14" s="475"/>
      <c r="E14" s="475"/>
      <c r="F14" s="475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7"/>
      <c r="AA14" s="269"/>
      <c r="AB14" s="480" t="str">
        <f>Překlady!A2</f>
        <v>Zamawianie żaluzji</v>
      </c>
      <c r="AC14" s="481"/>
      <c r="AD14" s="481"/>
      <c r="AE14" s="482"/>
    </row>
    <row r="15" spans="2:31" ht="18.75" customHeight="1" x14ac:dyDescent="0.25">
      <c r="B15" s="478" t="str">
        <f>Překlady!$A$128</f>
        <v>Adres</v>
      </c>
      <c r="C15" s="479"/>
      <c r="D15" s="479"/>
      <c r="E15" s="479"/>
      <c r="F15" s="479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9"/>
      <c r="AA15" s="269"/>
      <c r="AB15" s="483"/>
      <c r="AC15" s="484"/>
      <c r="AD15" s="484"/>
      <c r="AE15" s="485"/>
    </row>
    <row r="16" spans="2:31" ht="18.75" customHeight="1" x14ac:dyDescent="0.25">
      <c r="B16" s="466" t="str">
        <f>Překlady!$A$7</f>
        <v>NIP</v>
      </c>
      <c r="C16" s="467"/>
      <c r="D16" s="467"/>
      <c r="E16" s="467"/>
      <c r="F16" s="467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9"/>
      <c r="AA16" s="269"/>
      <c r="AB16" s="483"/>
      <c r="AC16" s="484"/>
      <c r="AD16" s="484"/>
      <c r="AE16" s="485"/>
    </row>
    <row r="17" spans="2:31" ht="18.75" customHeight="1" x14ac:dyDescent="0.25">
      <c r="B17" s="466" t="str">
        <f>Překlady!A126</f>
        <v>Telefon kontaktowy</v>
      </c>
      <c r="C17" s="467"/>
      <c r="D17" s="467"/>
      <c r="E17" s="467"/>
      <c r="F17" s="467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9"/>
      <c r="AA17" s="269"/>
      <c r="AB17" s="483"/>
      <c r="AC17" s="484"/>
      <c r="AD17" s="484"/>
      <c r="AE17" s="485"/>
    </row>
    <row r="18" spans="2:31" ht="18.75" customHeight="1" x14ac:dyDescent="0.25">
      <c r="B18" s="470" t="str">
        <f>Překlady!A127</f>
        <v>Adres e-mail</v>
      </c>
      <c r="C18" s="471"/>
      <c r="D18" s="471"/>
      <c r="E18" s="471"/>
      <c r="F18" s="471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3"/>
      <c r="AA18" s="269"/>
      <c r="AB18" s="486"/>
      <c r="AC18" s="487"/>
      <c r="AD18" s="487"/>
      <c r="AE18" s="488"/>
    </row>
    <row r="19" spans="2:31" x14ac:dyDescent="0.25">
      <c r="B19" s="270"/>
      <c r="AE19" s="272"/>
    </row>
    <row r="20" spans="2:31" ht="18.75" customHeight="1" x14ac:dyDescent="0.25">
      <c r="B20" s="270"/>
      <c r="AE20" s="272"/>
    </row>
    <row r="21" spans="2:31" ht="16.5" customHeight="1" x14ac:dyDescent="0.25">
      <c r="B21" s="281">
        <v>1</v>
      </c>
      <c r="C21" s="440" t="str">
        <f>CONCATENATE(Překlady!A119," ",Překlady!A120)</f>
        <v>Zapisane zamówienie wyślij pod adres zamowienia@demos-trade.com</v>
      </c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1"/>
    </row>
    <row r="22" spans="2:31" ht="16.5" customHeight="1" x14ac:dyDescent="0.25">
      <c r="B22" s="282">
        <v>2</v>
      </c>
      <c r="C22" s="438" t="str">
        <f>Překlady!$A$122</f>
        <v>Do formularza należy zapisać wyłącznie rozmiary wewnętrzne szafki (rozmiary zewnętrzne służą do kontroli)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9"/>
    </row>
    <row r="23" spans="2:31" ht="16.5" customHeight="1" x14ac:dyDescent="0.25">
      <c r="B23" s="282">
        <v>3</v>
      </c>
      <c r="C23" s="438" t="str">
        <f>Překlady!$A$123</f>
        <v>W wypadku, kiedy któraś z pozycji jest na zamówienie, minimalny odbiór wyłącznie w pełnych opakowaniach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9"/>
    </row>
    <row r="24" spans="2:31" ht="16.5" customHeight="1" x14ac:dyDescent="0.25">
      <c r="B24" s="282">
        <v>4</v>
      </c>
      <c r="C24" s="438" t="str">
        <f>Překlady!$A$125</f>
        <v>Formularz służy jako pomoc do konfiguracji, do właściwego działania rolety zawsze należy kierować się zaleceniami producenta (Rehau)</v>
      </c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9"/>
    </row>
    <row r="25" spans="2:31" ht="16.5" customHeight="1" x14ac:dyDescent="0.25">
      <c r="B25" s="282">
        <v>5</v>
      </c>
      <c r="C25" s="438" t="str">
        <f>Překlady!$A$124</f>
        <v>Do rolet pionowych powyżej 500mm zalecamy zastosowanie odpowiedniego mechanizmu (C3, C6, C8, Caddy)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9"/>
    </row>
    <row r="26" spans="2:31" ht="33.75" customHeight="1" x14ac:dyDescent="0.25">
      <c r="B26" s="282">
        <v>6</v>
      </c>
      <c r="C26" s="438" t="str">
        <f>Překlady!$A$174</f>
        <v>Przy zastosowaniu nakładanego prowadzenia 29 mm do Metallic line w kombinacji z mechanizmem C3, prowadnice należy przygotować zgodnie z rysunkiem w zakładce Instrukcja</v>
      </c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38"/>
      <c r="AD26" s="438"/>
      <c r="AE26" s="439"/>
    </row>
    <row r="27" spans="2:31" ht="30" customHeight="1" x14ac:dyDescent="0.25">
      <c r="B27" s="282">
        <v>7</v>
      </c>
      <c r="C27" s="438" t="str">
        <f>Překlady!$A$132</f>
        <v>W formularzu nie zawsze są dokładnie podane ograniczenia maksymalnych rozmiarów szafki, należy zatem dotrzymywać zalecenia producenta (Rehau)</v>
      </c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  <c r="AB27" s="438"/>
      <c r="AC27" s="438"/>
      <c r="AD27" s="438"/>
      <c r="AE27" s="439"/>
    </row>
    <row r="28" spans="2:31" ht="16.5" customHeight="1" x14ac:dyDescent="0.25">
      <c r="B28" s="282">
        <v>8</v>
      </c>
      <c r="C28" s="445" t="str">
        <f>Překlady!$A$135</f>
        <v>Maksymalna zalecana długość profili roletowych zapisanych w formularzu (szerokość maty roletowej) jest 1200 mm</v>
      </c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7"/>
    </row>
    <row r="29" spans="2:31" ht="16.5" customHeight="1" x14ac:dyDescent="0.25">
      <c r="B29" s="282">
        <v>9</v>
      </c>
      <c r="C29" s="438" t="str">
        <f>Překlady!$A$103</f>
        <v>Instrukcje montażu są dostępne na naszym portalu www.demos24plus.com</v>
      </c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8"/>
      <c r="AE29" s="439"/>
    </row>
    <row r="30" spans="2:31" ht="16.5" customHeight="1" x14ac:dyDescent="0.25">
      <c r="B30" s="282">
        <v>10</v>
      </c>
      <c r="C30" s="438" t="str">
        <f>Překlady!$A$121</f>
        <v>Formularz składa się z kilku stron, które można przełączać w dolnej części.</v>
      </c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8"/>
      <c r="AC30" s="438"/>
      <c r="AD30" s="438"/>
      <c r="AE30" s="439"/>
    </row>
    <row r="31" spans="2:31" ht="16.5" customHeight="1" x14ac:dyDescent="0.25">
      <c r="B31" s="282">
        <v>11</v>
      </c>
      <c r="C31" s="438" t="str">
        <f>Překlady!$A$118</f>
        <v>Prosimy korzystać zawsze z aktualnej wersji formularza umieszczonego na naszych stronach web.</v>
      </c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8"/>
      <c r="V31" s="438"/>
      <c r="W31" s="438"/>
      <c r="X31" s="438"/>
      <c r="Y31" s="438"/>
      <c r="Z31" s="438"/>
      <c r="AA31" s="438"/>
      <c r="AB31" s="438"/>
      <c r="AC31" s="438"/>
      <c r="AD31" s="438"/>
      <c r="AE31" s="439"/>
    </row>
    <row r="32" spans="2:31" ht="15.75" x14ac:dyDescent="0.25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42" t="s">
        <v>1788</v>
      </c>
      <c r="Z32" s="443"/>
      <c r="AA32" s="443"/>
      <c r="AB32" s="443"/>
      <c r="AC32" s="443"/>
      <c r="AD32" s="443"/>
      <c r="AE32" s="444"/>
    </row>
  </sheetData>
  <sheetProtection algorithmName="SHA-512" hashValue="iAe6WLYBXLDwVFj1MD8fyJY4qmVvW5AC9t4h8BlzlUD2V7hfK+PzLPcEJsAF2g1RtJYBQArvSs0JBJhLfaChnQ==" saltValue="cAsePWXmNOzsTF3mLQ4iyg==" spinCount="100000" sheet="1" objects="1" scenarios="1" selectLockedCells="1"/>
  <mergeCells count="29"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  <mergeCell ref="B2:AE2"/>
    <mergeCell ref="B3:X7"/>
    <mergeCell ref="Y3:AE7"/>
    <mergeCell ref="B9:AE10"/>
    <mergeCell ref="B11:AE11"/>
    <mergeCell ref="Y32:AE32"/>
    <mergeCell ref="C27:AE27"/>
    <mergeCell ref="C29:AE29"/>
    <mergeCell ref="C30:AE30"/>
    <mergeCell ref="C31:AE31"/>
    <mergeCell ref="C28:AE28"/>
    <mergeCell ref="C26:AE26"/>
    <mergeCell ref="C21:AE21"/>
    <mergeCell ref="C22:AE22"/>
    <mergeCell ref="C23:AE23"/>
    <mergeCell ref="C24:AE24"/>
    <mergeCell ref="C25:AE25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Zeros="0" topLeftCell="B1" zoomScale="90" zoomScaleNormal="90" workbookViewId="0">
      <selection activeCell="M9" sqref="M9"/>
    </sheetView>
  </sheetViews>
  <sheetFormatPr defaultColWidth="9.140625" defaultRowHeight="12.75" x14ac:dyDescent="0.2"/>
  <cols>
    <col min="1" max="1" width="17.28515625" style="205" hidden="1" customWidth="1"/>
    <col min="2" max="2" width="2" style="205" customWidth="1"/>
    <col min="3" max="3" width="17.28515625" style="205" customWidth="1"/>
    <col min="4" max="4" width="14.28515625" style="205" customWidth="1"/>
    <col min="5" max="5" width="13.5703125" style="205" customWidth="1"/>
    <col min="6" max="6" width="14.85546875" style="205" customWidth="1"/>
    <col min="7" max="8" width="0.5703125" style="205" customWidth="1"/>
    <col min="9" max="9" width="8.7109375" style="205" customWidth="1"/>
    <col min="10" max="10" width="4.7109375" style="205" customWidth="1"/>
    <col min="11" max="11" width="6.28515625" style="205" customWidth="1"/>
    <col min="12" max="12" width="5.28515625" style="205" customWidth="1"/>
    <col min="13" max="13" width="15" style="205" customWidth="1"/>
    <col min="14" max="14" width="11" style="205" customWidth="1"/>
    <col min="15" max="15" width="11.140625" style="205" customWidth="1"/>
    <col min="16" max="16" width="4" style="205" hidden="1" customWidth="1"/>
    <col min="17" max="17" width="7.42578125" style="205" hidden="1" customWidth="1"/>
    <col min="18" max="18" width="8.28515625" style="205" hidden="1" customWidth="1"/>
    <col min="19" max="19" width="4" style="205" hidden="1" customWidth="1"/>
    <col min="20" max="20" width="7" style="205" hidden="1" customWidth="1"/>
    <col min="21" max="21" width="16.42578125" style="205" hidden="1" customWidth="1"/>
    <col min="22" max="22" width="2" style="205" hidden="1" customWidth="1"/>
    <col min="23" max="23" width="16.42578125" style="205" hidden="1" customWidth="1"/>
    <col min="24" max="25" width="7" style="205" hidden="1" customWidth="1"/>
    <col min="26" max="29" width="16.42578125" style="205" hidden="1" customWidth="1"/>
    <col min="30" max="30" width="31.140625" style="205" hidden="1" customWidth="1"/>
    <col min="31" max="34" width="16.42578125" style="205" hidden="1" customWidth="1"/>
    <col min="35" max="35" width="7" style="205" hidden="1" customWidth="1"/>
    <col min="36" max="48" width="16.42578125" style="205" hidden="1" customWidth="1"/>
    <col min="49" max="85" width="9.140625" style="205" hidden="1" customWidth="1"/>
    <col min="86" max="86" width="0.5703125" style="205" hidden="1" customWidth="1"/>
    <col min="87" max="140" width="9.140625" style="205" hidden="1" customWidth="1"/>
    <col min="141" max="141" width="9.140625" style="205" customWidth="1"/>
    <col min="142" max="16384" width="9.140625" style="205"/>
  </cols>
  <sheetData>
    <row r="1" spans="3:21" ht="6.75" customHeight="1" x14ac:dyDescent="0.2"/>
    <row r="2" spans="3:21" ht="13.5" customHeight="1" x14ac:dyDescent="0.35">
      <c r="C2" s="549" t="str">
        <f>Překlady!$A$2</f>
        <v>Zamawianie żaluzji</v>
      </c>
      <c r="D2" s="550"/>
      <c r="E2" s="550"/>
      <c r="F2" s="550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35">
      <c r="C3" s="551"/>
      <c r="D3" s="552"/>
      <c r="E3" s="552"/>
      <c r="F3" s="552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2">
      <c r="C4" s="207"/>
      <c r="O4" s="243"/>
    </row>
    <row r="5" spans="3:21" ht="3" customHeight="1" x14ac:dyDescent="0.2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25">
      <c r="C6" s="587" t="str">
        <f>Překlady!$A$3</f>
        <v xml:space="preserve">Klient </v>
      </c>
      <c r="D6" s="588"/>
      <c r="E6" s="588"/>
      <c r="F6" s="588"/>
      <c r="G6" s="211"/>
      <c r="I6" s="553" t="str">
        <f>Překlady!$A$15</f>
        <v>Rozmiar szafki</v>
      </c>
      <c r="J6" s="553"/>
      <c r="K6" s="553"/>
      <c r="L6" s="553"/>
      <c r="M6" s="557" t="str">
        <f>Překlady!$A$114</f>
        <v>wewnętrzne</v>
      </c>
      <c r="N6" s="557" t="str">
        <f>Překlady!$A$113</f>
        <v>kontrolne zewnętrzne</v>
      </c>
      <c r="O6" s="558"/>
    </row>
    <row r="7" spans="3:21" ht="15" customHeight="1" x14ac:dyDescent="0.2">
      <c r="C7" s="580" t="str">
        <f>Překlady!$A$137</f>
        <v>(zmianę danych można przeprowadzić na stronie wstępnej formularza)</v>
      </c>
      <c r="D7" s="581"/>
      <c r="E7" s="581"/>
      <c r="F7" s="581"/>
      <c r="G7" s="300"/>
      <c r="H7" s="221"/>
      <c r="I7" s="553"/>
      <c r="J7" s="553"/>
      <c r="K7" s="553"/>
      <c r="L7" s="553"/>
      <c r="M7" s="557"/>
      <c r="N7" s="555" t="str">
        <f>Překlady!$A$115</f>
        <v>(materiał gr. 18 mm)</v>
      </c>
      <c r="O7" s="556"/>
    </row>
    <row r="8" spans="3:21" ht="3" customHeight="1" x14ac:dyDescent="0.25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25">
      <c r="C9" s="244" t="str">
        <f>Překlady!$A$4</f>
        <v>Nazwa</v>
      </c>
      <c r="D9" s="532">
        <f>Úvod!G14</f>
        <v>0</v>
      </c>
      <c r="E9" s="533"/>
      <c r="F9" s="534"/>
      <c r="G9" s="221"/>
      <c r="H9" s="221"/>
      <c r="I9" s="589" t="str">
        <f>Překlady!$A$16</f>
        <v>wysokość (mm):</v>
      </c>
      <c r="J9" s="589"/>
      <c r="K9" s="589"/>
      <c r="L9" s="589"/>
      <c r="M9" s="250"/>
      <c r="N9" s="559">
        <f>M9+36</f>
        <v>36</v>
      </c>
      <c r="O9" s="560"/>
      <c r="R9" s="212">
        <f>Titulní!B9</f>
        <v>36</v>
      </c>
      <c r="S9" s="213">
        <f>M9</f>
        <v>0</v>
      </c>
    </row>
    <row r="10" spans="3:21" ht="3" customHeight="1" x14ac:dyDescent="0.25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25">
      <c r="C11" s="244" t="str">
        <f>Překlady!$A$128</f>
        <v>Adres</v>
      </c>
      <c r="D11" s="532">
        <f>Úvod!G15</f>
        <v>0</v>
      </c>
      <c r="E11" s="533"/>
      <c r="F11" s="534"/>
      <c r="G11" s="221"/>
      <c r="H11" s="221"/>
      <c r="I11" s="589" t="str">
        <f>Překlady!$A$17</f>
        <v>szerokość (mm):</v>
      </c>
      <c r="J11" s="589"/>
      <c r="K11" s="589"/>
      <c r="L11" s="589"/>
      <c r="M11" s="250"/>
      <c r="N11" s="559">
        <f>M11+36</f>
        <v>36</v>
      </c>
      <c r="O11" s="560"/>
      <c r="R11" s="212">
        <f>Titulní!B11</f>
        <v>36</v>
      </c>
      <c r="S11" s="213">
        <f>M11</f>
        <v>0</v>
      </c>
    </row>
    <row r="12" spans="3:21" ht="3" customHeight="1" x14ac:dyDescent="0.25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25">
      <c r="C13" s="244" t="str">
        <f>Překlady!$A$7</f>
        <v>NIP</v>
      </c>
      <c r="D13" s="532">
        <f>Úvod!G16</f>
        <v>0</v>
      </c>
      <c r="E13" s="533"/>
      <c r="F13" s="534"/>
      <c r="G13" s="221"/>
      <c r="H13" s="221"/>
      <c r="I13" s="589" t="str">
        <f>IF(T13&lt;Q13,Překlady!A89,Překlady!$A$18)</f>
        <v>głębokość (mm):</v>
      </c>
      <c r="J13" s="589"/>
      <c r="K13" s="589"/>
      <c r="L13" s="589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590">
        <f>M13</f>
        <v>0</v>
      </c>
      <c r="U13" s="590"/>
    </row>
    <row r="14" spans="3:21" ht="3" customHeight="1" x14ac:dyDescent="0.25">
      <c r="C14" s="292"/>
      <c r="D14" s="247"/>
      <c r="E14" s="247"/>
      <c r="F14" s="247"/>
      <c r="G14" s="221"/>
      <c r="H14" s="221"/>
      <c r="O14" s="243"/>
    </row>
    <row r="15" spans="3:21" ht="19.5" customHeight="1" x14ac:dyDescent="0.3">
      <c r="C15" s="244" t="str">
        <f>Překlady!A126</f>
        <v>Telefon kontaktowy</v>
      </c>
      <c r="D15" s="532">
        <f>Úvod!G17</f>
        <v>0</v>
      </c>
      <c r="E15" s="533"/>
      <c r="F15" s="534"/>
      <c r="G15" s="221"/>
      <c r="H15" s="221"/>
      <c r="I15" s="553" t="str">
        <f>Překlady!$A$19</f>
        <v>Kierunek ruchu</v>
      </c>
      <c r="J15" s="553"/>
      <c r="K15" s="553"/>
      <c r="L15" s="553"/>
      <c r="M15" s="553"/>
      <c r="N15" s="553"/>
      <c r="O15" s="554"/>
    </row>
    <row r="16" spans="3:21" ht="3" customHeight="1" x14ac:dyDescent="0.25">
      <c r="C16" s="292"/>
      <c r="D16" s="247"/>
      <c r="E16" s="247"/>
      <c r="F16" s="247"/>
      <c r="G16" s="221"/>
      <c r="H16" s="221"/>
      <c r="O16" s="243"/>
    </row>
    <row r="17" spans="1:20" ht="19.5" customHeight="1" x14ac:dyDescent="0.3">
      <c r="C17" s="244" t="str">
        <f>Překlady!A127</f>
        <v>Adres e-mail</v>
      </c>
      <c r="D17" s="532">
        <f>Úvod!G18</f>
        <v>0</v>
      </c>
      <c r="E17" s="533"/>
      <c r="F17" s="534"/>
      <c r="G17" s="221"/>
      <c r="H17" s="221"/>
      <c r="I17" s="574"/>
      <c r="J17" s="574"/>
      <c r="K17" s="564"/>
      <c r="L17" s="564"/>
      <c r="M17" s="564"/>
      <c r="N17" s="564"/>
      <c r="O17" s="565"/>
    </row>
    <row r="18" spans="1:20" ht="3" customHeight="1" x14ac:dyDescent="0.2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">
      <c r="C19" s="286"/>
      <c r="D19" s="293"/>
      <c r="E19" s="293"/>
      <c r="F19" s="294"/>
      <c r="G19" s="296"/>
      <c r="H19" s="221"/>
      <c r="I19" s="553" t="str">
        <f>Překlady!$A$20</f>
        <v>Typ systemu prowadzenia</v>
      </c>
      <c r="J19" s="553"/>
      <c r="K19" s="553"/>
      <c r="L19" s="553"/>
      <c r="M19" s="553"/>
      <c r="N19" s="553"/>
      <c r="O19" s="554"/>
      <c r="Q19" s="214"/>
    </row>
    <row r="20" spans="1:20" ht="3" customHeight="1" x14ac:dyDescent="0.2">
      <c r="C20" s="207"/>
      <c r="G20" s="221"/>
      <c r="H20" s="221"/>
      <c r="O20" s="243"/>
    </row>
    <row r="21" spans="1:20" ht="19.5" customHeight="1" x14ac:dyDescent="0.3">
      <c r="C21" s="244" t="str">
        <f>Překlady!$A$10</f>
        <v>Zniżka</v>
      </c>
      <c r="D21" s="231">
        <v>0</v>
      </c>
      <c r="E21" s="245" t="str">
        <f>Překlady!$A$11</f>
        <v xml:space="preserve">Ilość szt. </v>
      </c>
      <c r="F21" s="231"/>
      <c r="G21" s="301"/>
      <c r="H21" s="221"/>
      <c r="I21" s="563"/>
      <c r="J21" s="563"/>
      <c r="K21" s="564"/>
      <c r="L21" s="564"/>
      <c r="M21" s="564"/>
      <c r="N21" s="564"/>
      <c r="O21" s="565"/>
    </row>
    <row r="22" spans="1:20" ht="3" customHeight="1" x14ac:dyDescent="0.2">
      <c r="C22" s="207"/>
      <c r="G22" s="221"/>
      <c r="H22" s="221"/>
      <c r="O22" s="243"/>
    </row>
    <row r="23" spans="1:20" ht="19.5" customHeight="1" x14ac:dyDescent="0.3">
      <c r="C23" s="561" t="str">
        <f>Překlady!$A$12</f>
        <v>Przygotować żaluzje na miarę?</v>
      </c>
      <c r="D23" s="562"/>
      <c r="E23" s="535"/>
      <c r="F23" s="536"/>
      <c r="G23" s="288"/>
      <c r="H23" s="221"/>
      <c r="I23" s="553" t="str">
        <f>Překlady!$A$21</f>
        <v>Kolor</v>
      </c>
      <c r="J23" s="553"/>
      <c r="K23" s="553"/>
      <c r="L23" s="553"/>
      <c r="M23" s="553"/>
      <c r="N23" s="553"/>
      <c r="O23" s="554"/>
      <c r="Q23" s="332"/>
    </row>
    <row r="24" spans="1:20" ht="3" customHeight="1" x14ac:dyDescent="0.2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">
      <c r="C25" s="561" t="str">
        <f>IF(VEDENI=5,IF(NAVIJENI&lt;3,Překlady!A90,Překlady!A14),Překlady!A14)</f>
        <v>System nawijania</v>
      </c>
      <c r="D25" s="562"/>
      <c r="E25" s="535"/>
      <c r="F25" s="536"/>
      <c r="G25" s="288"/>
      <c r="H25" s="221"/>
      <c r="I25" s="575"/>
      <c r="J25" s="575"/>
      <c r="K25" s="524"/>
      <c r="L25" s="524"/>
      <c r="M25" s="524"/>
      <c r="N25" s="524"/>
      <c r="O25" s="576"/>
    </row>
    <row r="26" spans="1:20" ht="5.25" customHeight="1" x14ac:dyDescent="0.2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2">
      <c r="C27" s="489" t="str">
        <f>IF(VLOOKUP(CHYBY!$Q$6,CHYBY!$L:$N,3,FALSE)=1,"",TRIM(CONCATENATE(CHYBY!U11," ",CHYBY!U12," ",CHYBY!U13," ",CHYBY!U14," ",CHYBY!U15)))</f>
        <v/>
      </c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1"/>
    </row>
    <row r="28" spans="1:20" ht="45" customHeight="1" x14ac:dyDescent="0.2">
      <c r="C28" s="489" t="str">
        <f>VLOOKUP(CHYBY!$Q$6,CHYBY!L:M,2,FALSE)</f>
        <v/>
      </c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1"/>
    </row>
    <row r="29" spans="1:20" x14ac:dyDescent="0.2">
      <c r="C29" s="568" t="str">
        <f>Překlady!$A$22</f>
        <v>Kod</v>
      </c>
      <c r="D29" s="570" t="str">
        <f>Překlady!$A$23</f>
        <v>Sortyment</v>
      </c>
      <c r="E29" s="571"/>
      <c r="F29" s="571"/>
      <c r="G29" s="572"/>
      <c r="H29" s="570" t="str">
        <f>Překlady!$A$24</f>
        <v xml:space="preserve">Ilość </v>
      </c>
      <c r="I29" s="571"/>
      <c r="J29" s="543" t="str">
        <f>Překlady!$A$107</f>
        <v>JM</v>
      </c>
      <c r="K29" s="566" t="str">
        <f>Překlady!$A$25</f>
        <v>Cena za sztukę</v>
      </c>
      <c r="L29" s="571"/>
      <c r="M29" s="566" t="str">
        <f>Překlady!$A$26</f>
        <v>Cena bez VAT</v>
      </c>
      <c r="N29" s="566" t="str">
        <f>Překlady!$A$27</f>
        <v>Kod dostawy</v>
      </c>
      <c r="O29" s="577" t="s">
        <v>1520</v>
      </c>
    </row>
    <row r="30" spans="1:20" x14ac:dyDescent="0.2">
      <c r="C30" s="569"/>
      <c r="D30" s="567"/>
      <c r="E30" s="567"/>
      <c r="F30" s="567"/>
      <c r="G30" s="573"/>
      <c r="H30" s="567"/>
      <c r="I30" s="567"/>
      <c r="J30" s="544"/>
      <c r="K30" s="567"/>
      <c r="L30" s="567"/>
      <c r="M30" s="567"/>
      <c r="N30" s="579"/>
      <c r="O30" s="578"/>
      <c r="Q30" s="205" t="s">
        <v>21</v>
      </c>
      <c r="R30" s="205" t="s">
        <v>1935</v>
      </c>
    </row>
    <row r="31" spans="1:20" ht="15.75" customHeight="1" x14ac:dyDescent="0.2">
      <c r="C31" s="540" t="str">
        <f>Překlady!$A$28</f>
        <v>Profil rolety</v>
      </c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2"/>
      <c r="T31" s="205" t="s">
        <v>1312</v>
      </c>
    </row>
    <row r="32" spans="1:20" ht="15.75" customHeight="1" x14ac:dyDescent="0.2">
      <c r="A32" s="205" t="s">
        <v>1306</v>
      </c>
      <c r="C32" s="333" t="str">
        <f>IF(VLOOKUP(CHYBY!$Q$6,CHYBY!$L:$N,3,FALSE)=1,"",výpočty!AQ5)</f>
        <v>R88309</v>
      </c>
      <c r="D32" s="504" t="str">
        <f>IF(VLOOKUP(CHYBY!$Q$6,CHYBY!$L:$N,3,FALSE)=1,"",IF(AND(VEDENI=3,BARVA=5),Překlady!A84,IF(P32=0,výpočty!AO5,CONCATENATE(výpočty!AO5," (X",P32,")"))))</f>
        <v>Roletowy profil E23 czarny (X-9)</v>
      </c>
      <c r="E32" s="504"/>
      <c r="F32" s="504"/>
      <c r="G32" s="504"/>
      <c r="H32" s="539">
        <f>IF(VLOOKUP(CHYBY!$Q$6,CHYBY!L:N,3,FALSE)=1,"",IF(výpočty!S26=2,0,
IF(SMER=1,výpočty!AR5,výpočty!AR6)))</f>
        <v>0</v>
      </c>
      <c r="I32" s="539"/>
      <c r="J32" s="275" t="str">
        <f>IF(VLOOKUP(CHYBY!$Q$6,CHYBY!$L:$N,3,FALSE)=1,"",IF(výpočty!S26=2,0,VLOOKUP(C32,výpočty!$Z$246:$AK$508,12,0)))</f>
        <v>MB</v>
      </c>
      <c r="K32" s="537">
        <f>IF(VLOOKUP(CHYBY!$Q$6,CHYBY!$L:$N,3,FALSE)=1,"",IF(výpočty!S26=2,0,výpočty!AT5))</f>
        <v>19.28388</v>
      </c>
      <c r="L32" s="538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2">
      <c r="A33" s="205" t="s">
        <v>2142</v>
      </c>
      <c r="C33" s="277" t="str">
        <f>IF(VLOOKUP(CHYBY!$Q$6,CHYBY!$L:$N,3,FALSE)=1,"",výpočty!AQ7)</f>
        <v xml:space="preserve"> </v>
      </c>
      <c r="D33" s="505" t="str">
        <f>IF(VLOOKUP(CHYBY!$Q$6,CHYBY!$L:$N,3,FALSE)=1,"",IF(P33=0,výpočty!AO7,CONCATENATE(výpočty!AO7," (X",P33,")")))</f>
        <v xml:space="preserve"> </v>
      </c>
      <c r="E33" s="505"/>
      <c r="F33" s="505"/>
      <c r="G33" s="505"/>
      <c r="H33" s="531">
        <f>IF(VLOOKUP(CHYBY!$Q$6,CHYBY!$L:$N,3,FALSE)=1,"",IF(výpočty!S28=2,0,výpočty!AR7))</f>
        <v>0</v>
      </c>
      <c r="I33" s="531"/>
      <c r="J33" s="278">
        <f>IF(VLOOKUP(CHYBY!$Q$6,CHYBY!$L:$N,3,FALSE)=1,"",IF(výpočty!S28=2,0,VLOOKUP(C33,výpočty!$Z$246:$AK$508,12,0)))</f>
        <v>0</v>
      </c>
      <c r="K33" s="583" t="str">
        <f>IF(VLOOKUP(CHYBY!$Q$6,CHYBY!$L:$N,3,FALSE)=1,"",IF(výpočty!S28=2,0,výpočty!AT7))</f>
        <v xml:space="preserve"> </v>
      </c>
      <c r="L33" s="584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2">
      <c r="C34" s="370" t="str">
        <f>Překlady!$A$29</f>
        <v xml:space="preserve">Listwa końcowa 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2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R95817</v>
      </c>
      <c r="D35" s="504" t="str">
        <f>IF(VLOOKUP(CHYBY!$Q$6,CHYBY!$L:$N,3,FALSE)=1,"",IF(P35=0,VLOOKUP(C:C,výpočty!$AA$2:$AB$245,2,FALSE),CONCATENATE(VLOOKUP(C:C,výpočty!$AA$2:$AB$245,2,FALSE)," (X",P35,")")))</f>
        <v>Listwa końcowa z uskokiem ALU dolna częś (X-28)</v>
      </c>
      <c r="E35" s="504"/>
      <c r="F35" s="504"/>
      <c r="G35" s="504"/>
      <c r="H35" s="539">
        <f>IF(VLOOKUP(CHYBY!$Q$6,CHYBY!$L:$N,3,FALSE)=1,"",IF(výpočty!S32=2,0,
IF(VEDENI=3,výpočty!AR13,
IF(SMER=1,výpočty!AR11,výpočty!AR12))))</f>
        <v>0</v>
      </c>
      <c r="I35" s="539"/>
      <c r="J35" s="275" t="str">
        <f>IF(VLOOKUP(CHYBY!$Q$6,CHYBY!$L:$N,3,FALSE)=1,"",IF(výpočty!S32=2,0,VLOOKUP(C35,výpočty!$Z$246:$AK$508,12,0)))</f>
        <v>MB</v>
      </c>
      <c r="K35" s="537">
        <f>IF(VLOOKUP(CHYBY!$Q$6,CHYBY!$L:$N,3,FALSE)=1,"",IF(výpočty!S32=2,0,výpočty!AT11))</f>
        <v>69.139859999999999</v>
      </c>
      <c r="L35" s="538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-28</v>
      </c>
      <c r="Q35" s="205">
        <f>IF(S35=0,0,IF(SMER=1,IF('Objednávka žaluzií'!S35=1,$S$11,$S$9),IF(S35=2,$S$11,$S$9)))</f>
        <v>0</v>
      </c>
      <c r="R35" s="205">
        <f>VLOOKUP(C35,výpočty!$AA:$AM,(5+VEDENI),0)</f>
        <v>-28</v>
      </c>
      <c r="S35" s="205">
        <f>VLOOKUP('Objednávka žaluzií'!C35,výpočty!$AA:$AM,11,0)</f>
        <v>1</v>
      </c>
    </row>
    <row r="36" spans="1:23" ht="15.75" customHeight="1" x14ac:dyDescent="0.2">
      <c r="A36" s="205" t="s">
        <v>2143</v>
      </c>
      <c r="C36" s="216" t="str">
        <f>IF(VLOOKUP(CHYBY!$Q$6,CHYBY!$L:$N,3,FALSE)=1,"",IF(VEDENI=3,výpočty!AQ14," "))</f>
        <v>R96071</v>
      </c>
      <c r="D36" s="496" t="str">
        <f>IF(VLOOKUP(CHYBY!$Q$6,CHYBY!$L:$N,3,FALSE)=1,"",IF(P36=0,
IF(VEDENI=3,výpočty!AO14," "),CONCATENATE(IF(VEDENI=3,výpočty!AO14," ")," (X",P36,")")))</f>
        <v>Osłona lis.koń.z uskokiem czarna (X-28)</v>
      </c>
      <c r="E36" s="496"/>
      <c r="F36" s="496"/>
      <c r="G36" s="496"/>
      <c r="H36" s="495">
        <f>IF(VLOOKUP(CHYBY!$Q$6,CHYBY!$L:$N,3,FALSE)=1,"",IF(výpočty!S34=2,0,IF(VEDENI=3,výpočty!AR14," ")))</f>
        <v>0</v>
      </c>
      <c r="I36" s="495"/>
      <c r="J36" s="229" t="str">
        <f>IF(VLOOKUP(CHYBY!$Q$6,CHYBY!$L:$N,3,FALSE)=1,"",IF(výpočty!S34=2,0,VLOOKUP(C36,výpočty!$Z:$AK,12,0)))</f>
        <v>MB</v>
      </c>
      <c r="K36" s="492">
        <f>IF(VLOOKUP(CHYBY!$Q$6,CHYBY!$L:$N,3,FALSE)=1,"",IF(výpočty!S34=2,0,IF(VEDENI=3,výpočty!AT14," ")))</f>
        <v>26.355560000000001</v>
      </c>
      <c r="L36" s="493"/>
      <c r="M36" s="365">
        <f>IF(VLOOKUP(CHYBY!$Q$6,CHYBY!$L:$N,3,FALSE)=1,"",IF(výpočty!S34=2,"",IF(VEDENI=3,výpočty!AV14,"")))</f>
        <v>0</v>
      </c>
      <c r="N36" s="217" t="str">
        <f>IF(VLOOKUP(CHYBY!$Q$6,CHYBY!$L:$N,3,FALSE)=1,"",IF(výpočty!S34=2,0,VLOOKUP(C36,výpočty!$Z$246:$AJ$508,11,0)))</f>
        <v>S72</v>
      </c>
      <c r="O36" s="298"/>
      <c r="P36" s="218">
        <f>IF(výpočty!S34=2,0,IF(PRIPRAVA=1,Q36+R36,0))</f>
        <v>-28</v>
      </c>
      <c r="Q36" s="205">
        <f>IF(S36=0,0,IF(SMER=1,IF('Objednávka žaluzií'!S36=1,$S$11,$S$9),IF(S36=2,$S$11,$S$9)))</f>
        <v>0</v>
      </c>
      <c r="R36" s="205">
        <f>VLOOKUP(C36,výpočty!$AA:$AM,(5+VEDENI),0)</f>
        <v>-28</v>
      </c>
      <c r="S36" s="205">
        <f>VLOOKUP('Objednávka žaluzií'!C36,výpočty!$AA:$AM,11,0)</f>
        <v>1</v>
      </c>
    </row>
    <row r="37" spans="1:23" ht="15.75" customHeight="1" x14ac:dyDescent="0.2">
      <c r="A37" s="205" t="s">
        <v>2144</v>
      </c>
      <c r="C37" s="338" t="str">
        <f>IF(VLOOKUP(CHYBY!$Q$6,CHYBY!$L:$N,3,FALSE)=1,"",
IF(C35=353557,353561,
IF(AND(VEDENI=3,OR(BARVA=15,BARVA=16)),výpočty!AQ16,
IF(VEDENI=3,výpočty!AQ15,výpočty!AQ16))))</f>
        <v>R96088</v>
      </c>
      <c r="D37" s="496" t="str">
        <f>IF(VLOOKUP(CHYBY!$Q$6,CHYBY!$L:$N,3,FALSE)=1,"",VLOOKUP(C:C,výpočty!$AA$2:$AB$245,2,FALSE))</f>
        <v>Ślizgacz do R95817 czarny</v>
      </c>
      <c r="E37" s="496"/>
      <c r="F37" s="496"/>
      <c r="G37" s="496"/>
      <c r="H37" s="495">
        <f>IF(VLOOKUP(CHYBY!$Q$6,CHYBY!$L:$N,3,FALSE)=1,"",IF(výpočty!S36=2,0,IF(VEDENI=3,výpočty!AR15,výpočty!AR16)))</f>
        <v>0</v>
      </c>
      <c r="I37" s="495"/>
      <c r="J37" s="229" t="str">
        <f>IF(VLOOKUP(CHYBY!$Q$6,CHYBY!$L:$N,3,FALSE)=1,"",IF(výpočty!S36=2,0,VLOOKUP(C37,výpočty!$Z$246:$AK$508,12,0)))</f>
        <v>PAR.</v>
      </c>
      <c r="K37" s="492">
        <f>IF(VLOOKUP(CHYBY!$Q$6,CHYBY!$L:$N,3,FALSE)=1,"",
IF(výpočty!S36=2,0,
IF(VEDENI=3,výpočty!AT15,výpočty!AT16)))</f>
        <v>13.00919</v>
      </c>
      <c r="L37" s="493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2">
      <c r="A38" s="205" t="s">
        <v>2146</v>
      </c>
      <c r="C38" s="216">
        <f>IF(VLOOKUP(CHYBY!$Q$6,CHYBY!$L:$N,3,FALSE)=1,"",IF(OR(VEDENI=5,VEDENI=3,VEDENI=4),IF(BARVA=15,výpočty!AA242,IF(BARVA=16,výpočty!AA242,0)),0))</f>
        <v>0</v>
      </c>
      <c r="D38" s="494">
        <f>IF(VLOOKUP(CHYBY!$Q$6,CHYBY!$L:$N,3,FALSE)=1,"",VLOOKUP(C38,výpočty!$AA$240:$AD$242,2,0))</f>
        <v>0</v>
      </c>
      <c r="E38" s="494"/>
      <c r="F38" s="494"/>
      <c r="G38" s="494"/>
      <c r="H38" s="495">
        <f>IF(VLOOKUP(CHYBY!$Q$6,CHYBY!$L:$N,3,FALSE)=1,"",IF(výpočty!S60=2,0,IF(C38=výpočty!AA242,2*'Objednávka žaluzií'!F21,0)))</f>
        <v>0</v>
      </c>
      <c r="I38" s="495"/>
      <c r="J38" s="229">
        <f>IF(VLOOKUP(CHYBY!$Q$6,CHYBY!$L:$N,3,FALSE)=1,"",IF(výpočty!S60=2,0,VLOOKUP(C38,výpočty!$Z$246:$AK$508,12,0)))</f>
        <v>0</v>
      </c>
      <c r="K38" s="492">
        <f>IF(VLOOKUP(CHYBY!$Q$6,CHYBY!$L:$N,3,FALSE)=1,"",IF(výpočty!S60=2,0,VLOOKUP(C38,výpočty!$AA$240:$AD$242,3,0)))</f>
        <v>0</v>
      </c>
      <c r="L38" s="493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2">
      <c r="A39" s="205" t="s">
        <v>2145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5" t="str">
        <f>IF(VLOOKUP(CHYBY!$Q$6,CHYBY!$L:$N,3,FALSE)=1,"",IF(P39=0,T39,
IF(T39=0,0,CONCATENATE(T39," (X",P39,")"))))</f>
        <v>Środkowa listwa uchwytowa C3-uni czar. (X-9)</v>
      </c>
      <c r="E39" s="546"/>
      <c r="F39" s="546"/>
      <c r="G39" s="547"/>
      <c r="H39" s="531">
        <f>IF(VLOOKUP(CHYBY!$Q$6,CHYBY!$L:$N,3,FALSE)=1,"",IF(výpočty!S62=2,0,IF(C39=" ",0,IF(C39=0,0,IF(VEDENI=3,výpočty!AR13,IF(SMER=1,výpočty!AR11,výpočty!AR12))))))</f>
        <v>0</v>
      </c>
      <c r="I39" s="531"/>
      <c r="J39" s="278" t="str">
        <f>IF(VLOOKUP(CHYBY!$Q$6,CHYBY!$L:$N,3,FALSE)=1,"",IF(výpočty!S62=2,0,VLOOKUP(C39,výpočty!Z247:AK508,12,0)))</f>
        <v>MB</v>
      </c>
      <c r="K39" s="583">
        <f>IF(VLOOKUP(CHYBY!$Q$6,CHYBY!$L:$N,3,FALSE)=1,"",IF(výpočty!S62=2,0,VLOOKUP(C39,výpočty!AA3:AC242,3,0)))</f>
        <v>42.180149999999998</v>
      </c>
      <c r="L39" s="584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494" t="str">
        <f>VLOOKUP(C39,výpočty!AA3:AB242,2,0)</f>
        <v>Środkowa listwa uchwytowa C3-uni czar.</v>
      </c>
      <c r="U39" s="494"/>
      <c r="V39" s="494"/>
      <c r="W39" s="494"/>
    </row>
    <row r="40" spans="1:23" ht="15.75" customHeight="1" x14ac:dyDescent="0.2">
      <c r="C40" s="370" t="str">
        <f>Překlady!$A$30</f>
        <v>Listwa maskująca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2">
      <c r="A41" s="205" t="s">
        <v>8</v>
      </c>
      <c r="C41" s="333" t="str">
        <f>IF(VLOOKUP(CHYBY!$Q$6,CHYBY!$L:$N,3,FALSE)=1,"",IF(VEDENI=5,
IF(BARVA&lt;12,
výpočty!AA39,T41),T41))</f>
        <v>R95820</v>
      </c>
      <c r="D41" s="504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Listwa maskująca z uskokiem ALU-dolna cz (X-24)</v>
      </c>
      <c r="E41" s="504"/>
      <c r="F41" s="504"/>
      <c r="G41" s="504"/>
      <c r="H41" s="539">
        <f>IF(VLOOKUP(CHYBY!$Q$6,CHYBY!$L:$N,3,FALSE)=1,"",IF(výpočty!S39=2,0,IF(VEDENI=3,výpočty!AR24,IF(VEDENI=5,výpočty!AR26,IF(SMER=1,výpočty!AR22,výpočty!AR23)))))</f>
        <v>0</v>
      </c>
      <c r="I41" s="539"/>
      <c r="J41" s="275" t="str">
        <f>IF(VLOOKUP(CHYBY!$Q$6,CHYBY!$L:$N,3,FALSE)=1,"",IF(výpočty!S39=2,0,VLOOKUP(C41,výpočty!$Z$246:$AK$508,12,0)))</f>
        <v>MB</v>
      </c>
      <c r="K41" s="537">
        <f>IF(VLOOKUP(CHYBY!$Q$6,CHYBY!$L:$N,3,FALSE)=1,"",IF(výpočty!S39=2,0,IF(C41=výpočty!AA39,výpočty!AC39,(IF(VEDENI=3,výpočty!AT24,IF(VEDENI=5,výpočty!AT26,výpočty!AT22))))))</f>
        <v>98.007369999999995</v>
      </c>
      <c r="L41" s="538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-24</v>
      </c>
      <c r="Q41" s="205">
        <f>IF(S41=0,0,IF(SMER=1,IF('Objednávka žaluzií'!S41=1,$S$11,$S$9),IF(S41=2,$S$11,$S$9)))</f>
        <v>0</v>
      </c>
      <c r="R41" s="205">
        <f>VLOOKUP(C41,výpočty!$AA:$AM,(5+VEDENI),0)</f>
        <v>-24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R95820</v>
      </c>
    </row>
    <row r="42" spans="1:23" ht="15.75" customHeight="1" x14ac:dyDescent="0.2">
      <c r="A42" s="205" t="s">
        <v>2147</v>
      </c>
      <c r="C42" s="277" t="str">
        <f>IF(VLOOKUP(CHYBY!$Q$6,CHYBY!$L:$N,3,FALSE)=1,"",IF(VEDENI=3,výpočty!AQ25," "))</f>
        <v>R96080</v>
      </c>
      <c r="D42" s="505" t="str">
        <f>IF(VLOOKUP(CHYBY!$Q$6,CHYBY!$L:$N,3,FALSE)=1,"",IF(P42=0,
IF(VEDENI=3,výpočty!AO25," "),CONCATENATE(IF(VEDENI=3,výpočty!AO25," ")," (X",P42,")")))</f>
        <v>Osłona listwy mask. z uskokiem-uni czarn (X-24)</v>
      </c>
      <c r="E42" s="505"/>
      <c r="F42" s="505"/>
      <c r="G42" s="505"/>
      <c r="H42" s="531">
        <f>IF(VLOOKUP(CHYBY!$Q$6,CHYBY!$L:$N,3,FALSE)=1,"",IF(výpočty!S41=2,0,IF(VEDENI=3,výpočty!AR25," ")))</f>
        <v>0</v>
      </c>
      <c r="I42" s="531"/>
      <c r="J42" s="278" t="str">
        <f>IF(VLOOKUP(CHYBY!$Q$6,CHYBY!$L:$N,3,FALSE)=1,"",IF(výpočty!S41=2,0,VLOOKUP(C42,výpočty!$Z$246:$AK$508,12,0)))</f>
        <v>MB</v>
      </c>
      <c r="K42" s="583">
        <f>IF(VLOOKUP(CHYBY!$Q$6,CHYBY!$L:$N,3,FALSE)=1,"",IF(výpočty!S41=2,0,IF(VEDENI=3,výpočty!AT25," ")))</f>
        <v>27.027149999999999</v>
      </c>
      <c r="L42" s="584"/>
      <c r="M42" s="369">
        <f>IF(VLOOKUP(CHYBY!$Q$6,CHYBY!$L:$N,3,FALSE)=1,"",IF(výpočty!S41=2,"",IF(VEDENI=3,výpočty!AV25,"")))</f>
        <v>0</v>
      </c>
      <c r="N42" s="279" t="str">
        <f>IF(VLOOKUP(CHYBY!$Q$6,CHYBY!$L:$N,3,FALSE)=1,"",IF(výpočty!S41=2,0,VLOOKUP(C42,výpočty!$Z$246:$AJ$508,11,0)))</f>
        <v>S72</v>
      </c>
      <c r="O42" s="297"/>
      <c r="P42" s="218">
        <f>IF(výpočty!S41=2,0,IF(PRIPRAVA=1,Q42+R42,0))</f>
        <v>-24</v>
      </c>
      <c r="Q42" s="205">
        <f>IF(S42=0,0,IF(SMER=1,IF('Objednávka žaluzií'!S42=1,$S$11,$S$9),IF(S42=2,$S$11,$S$9)))</f>
        <v>0</v>
      </c>
      <c r="R42" s="205">
        <f>VLOOKUP(C42,výpočty!$AA:$AM,(5+VEDENI),0)</f>
        <v>-24</v>
      </c>
      <c r="S42" s="205">
        <f>VLOOKUP('Objednávka žaluzií'!C42,výpočty!$AA:$AM,11,0)</f>
        <v>1</v>
      </c>
    </row>
    <row r="43" spans="1:23" ht="15.75" customHeight="1" x14ac:dyDescent="0.2">
      <c r="C43" s="370" t="str">
        <f>Překlady!$A$31</f>
        <v>Listwa torowa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2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04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Listwa tor. na wkręt czarna</v>
      </c>
      <c r="E44" s="504"/>
      <c r="F44" s="504"/>
      <c r="G44" s="504"/>
      <c r="H44" s="539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39"/>
      <c r="J44" s="275" t="str">
        <f>IF(VLOOKUP(CHYBY!$Q$6,CHYBY!$L:$N,3,FALSE)=1,"",IF(výpočty!S43=2,0,VLOOKUP(C44,výpočty!$Z$246:$AK$508,12,0)))</f>
        <v>MB</v>
      </c>
      <c r="K44" s="538">
        <f>IF(VLOOKUP(CHYBY!$Q$6,CHYBY!$L:$N,3,FALSE)=1,"",IF(výpočty!S43=2,0,IF(VEDENI=2,IF(NAVIJENI=3," ",výpočty!AT41),IF(VEDENI=5," ",IF(VEDENI&gt;2,IF(NAVIJENI&gt;1," ",výpočty!AT30),výpočty!AT30)))))</f>
        <v>20.510159999999999</v>
      </c>
      <c r="L44" s="538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0</v>
      </c>
      <c r="Q44" s="205">
        <f>IF(S44=0,0,IF(SMER=1,IF('Objednávka žaluzií'!S44=1,$S$11,$S$9),IF(S44=2,$S$11,$S$9)))</f>
        <v>0</v>
      </c>
      <c r="R44" s="205">
        <f>VLOOKUP(C44,výpočty!$AA:$AM,(5+VEDENI),0)</f>
        <v>0</v>
      </c>
      <c r="S44" s="205">
        <f>VLOOKUP('Objednávka žaluzií'!C44,výpočty!$AA:$AM,11,0)</f>
        <v>2</v>
      </c>
    </row>
    <row r="45" spans="1:23" ht="15.75" customHeight="1" x14ac:dyDescent="0.2">
      <c r="A45" s="205" t="s">
        <v>2148</v>
      </c>
      <c r="C45" s="216" t="str">
        <f>IF(VLOOKUP(CHYBY!$Q$6,CHYBY!$L:$N,3,FALSE)=1,"",IF(C25=Překlady!A90,"chyba",
IF(VEDENI&gt;2,výpočty!AQ52," ")))</f>
        <v>R95818</v>
      </c>
      <c r="D45" s="494" t="str">
        <f>IF(VLOOKUP(CHYBY!$Q$6,CHYBY!$L:$N,3,FALSE)=1,"",IF(P45=0,IF(VEDENI&gt;2,výpočty!AO52," "),CONCATENATE(IF(VEDENI&gt;2,výpočty!AO52," ")," (X",P45,")")))</f>
        <v>Listwa tor.Frame-dol.część, ALU 230L (X-65)</v>
      </c>
      <c r="E45" s="494"/>
      <c r="F45" s="494"/>
      <c r="G45" s="494"/>
      <c r="H45" s="585">
        <f>IF(VLOOKUP(CHYBY!$Q$6,CHYBY!$L:$N,3,FALSE)=1,"",IF(výpočty!S45=2,0,IF(VEDENI&gt;2,výpočty!AR52," ")))</f>
        <v>0</v>
      </c>
      <c r="I45" s="585"/>
      <c r="J45" s="229" t="str">
        <f>IF(VLOOKUP(CHYBY!$Q$6,CHYBY!$L:$N,3,FALSE)=1,"",IF(výpočty!S45=2,0,VLOOKUP(C45,výpočty!$Z$246:$AK$508,12,0)))</f>
        <v>MB</v>
      </c>
      <c r="K45" s="548">
        <f>IF(VLOOKUP(CHYBY!$Q$6,CHYBY!$L:$N,3,FALSE)=1,"",IF(výpočty!S45=2,0,IF(VEDENI&gt;2,výpočty!AT52," ")))</f>
        <v>108.78563</v>
      </c>
      <c r="L45" s="548"/>
      <c r="M45" s="365">
        <f>IF(VLOOKUP(CHYBY!$Q$6,CHYBY!$L:$N,3,FALSE)=1,"",IF(C25=Překlady!A90,D45,IF(výpočty!S45=2,"",IF(VEDENI&gt;2,výpočty!AV52,""))))</f>
        <v>0</v>
      </c>
      <c r="N45" s="217" t="str">
        <f>IF(VLOOKUP(CHYBY!$Q$6,CHYBY!$L:$N,3,FALSE)=1,"",IF(výpočty!S45=2,0,VLOOKUP(C45,výpočty!$Z$246:$AJ$508,11,0)))</f>
        <v>S72</v>
      </c>
      <c r="O45" s="297"/>
      <c r="P45" s="218">
        <f>IF(výpočty!S45=2,0,IF(PRIPRAVA=1,Q45+R45,0))</f>
        <v>-65</v>
      </c>
      <c r="Q45" s="205">
        <f>IF(S45=0,0,IF(SMER=1,IF('Objednávka žaluzií'!S45=1,$S$11,$S$9),IF(S45=2,$S$11,$S$9)))</f>
        <v>0</v>
      </c>
      <c r="R45" s="205">
        <f>VLOOKUP(C45,výpočty!$AA:$AM,(5+VEDENI),0)</f>
        <v>-65</v>
      </c>
      <c r="S45" s="205">
        <f>VLOOKUP('Objednávka žaluzií'!C45,výpočty!$AA:$AM,11,0)</f>
        <v>2</v>
      </c>
    </row>
    <row r="46" spans="1:23" ht="15.75" customHeight="1" x14ac:dyDescent="0.2">
      <c r="A46" s="205" t="s">
        <v>2149</v>
      </c>
      <c r="C46" s="338" t="str">
        <f>IF(VLOOKUP(CHYBY!$Q$6,CHYBY!$L:$N,3,FALSE)=1,"",IF(VEDENI&gt;2,výpočty!AQ53," "))</f>
        <v>R95832</v>
      </c>
      <c r="D46" s="494" t="str">
        <f>IF(VLOOKUP(CHYBY!$Q$6,CHYBY!$L:$N,3,FALSE)=1,"",IF(P46=0,IF(VEDENI&gt;2,výpočty!AO53," "),CONCATENATE(IF(VEDENI&gt;2,výpočty!AO53," ")," (X",P46,")")))</f>
        <v>Profil kryjący Frame czar. (X24)</v>
      </c>
      <c r="E46" s="494"/>
      <c r="F46" s="494"/>
      <c r="G46" s="494"/>
      <c r="H46" s="585">
        <f>IF(VLOOKUP(CHYBY!$Q$6,CHYBY!$L:$N,3,FALSE)=1,"",IF(výpočty!S47=2,0,IF(VEDENI&gt;2,výpočty!AR53," ")))</f>
        <v>0</v>
      </c>
      <c r="I46" s="585"/>
      <c r="J46" s="229" t="str">
        <f>IF(VLOOKUP(CHYBY!$Q$6,CHYBY!$L:$N,3,FALSE)=1,"",IF(výpočty!S47=2,0,VLOOKUP(C46,výpočty!$Z$246:$AK$508,12,0)))</f>
        <v>MB</v>
      </c>
      <c r="K46" s="548">
        <f>IF(VLOOKUP(CHYBY!$Q$6,CHYBY!$L:$N,3,FALSE)=1,"",IF(výpočty!S47=2,0,IF(VEDENI&gt;2,výpočty!AT53," ")))</f>
        <v>23.981380000000001</v>
      </c>
      <c r="L46" s="548"/>
      <c r="M46" s="365">
        <f>IF(VLOOKUP(CHYBY!$Q$6,CHYBY!$L:$N,3,FALSE)=1,"",IF(výpočty!S47=2,"",IF(VEDENI&gt;2,výpočty!AV53,"")))</f>
        <v>0</v>
      </c>
      <c r="N46" s="217" t="str">
        <f>IF(VLOOKUP(CHYBY!$Q$6,CHYBY!$L:$N,3,FALSE)=1,"",IF(výpočty!S47=2,0,VLOOKUP(C46,výpočty!$Z$246:$AJ$508,11,0)))</f>
        <v>S72</v>
      </c>
      <c r="O46" s="297"/>
      <c r="P46" s="218">
        <f>IF(výpočty!S47=2,0,IF(PRIPRAVA=1,Q46+R46,0))</f>
        <v>24</v>
      </c>
      <c r="Q46" s="205">
        <f>IF(S46=0,0,IF(SMER=1,IF('Objednávka žaluzií'!S46=1,$S$11,$S$9),IF(S46=2,$S$11,$S$9)))</f>
        <v>0</v>
      </c>
      <c r="R46" s="205">
        <f>VLOOKUP(C46,výpočty!$AA:$AM,(5+VEDENI),0)</f>
        <v>24</v>
      </c>
      <c r="S46" s="205">
        <f>VLOOKUP('Objednávka žaluzií'!C46,výpočty!$AA:$AM,11,0)</f>
        <v>2</v>
      </c>
    </row>
    <row r="47" spans="1:23" ht="15.75" customHeight="1" x14ac:dyDescent="0.2">
      <c r="A47" s="205" t="s">
        <v>2150</v>
      </c>
      <c r="C47" s="216" t="str">
        <f>IF(VLOOKUP(CHYBY!$Q$6,CHYBY!$L:$N,3,FALSE)=1,"",IF(VEDENI&gt;2,výpočty!AQ54," "))</f>
        <v>R95840</v>
      </c>
      <c r="D47" s="494" t="str">
        <f>IF(VLOOKUP(CHYBY!$Q$6,CHYBY!$L:$N,3,FALSE)=1,"",IF(P47=0,IF(VEDENI&gt;2,výpočty!AO54," "),CONCATENATE(IF(VEDENI&gt;2,výpočty!AO54," ")," (X",P47,")")))</f>
        <v>Zaślepka Frame czarna</v>
      </c>
      <c r="E47" s="494"/>
      <c r="F47" s="494"/>
      <c r="G47" s="494"/>
      <c r="H47" s="585">
        <f>IF(VLOOKUP(CHYBY!$Q$6,CHYBY!$L:$N,3,FALSE)=1,"",IF(výpočty!S49=2,0,IF(VEDENI&gt;2,výpočty!AR54," ")))</f>
        <v>0</v>
      </c>
      <c r="I47" s="585"/>
      <c r="J47" s="229" t="str">
        <f>IF(VLOOKUP(CHYBY!$Q$6,CHYBY!$L:$N,3,FALSE)=1,"",IF(výpočty!S49=2,0,VLOOKUP(C47,výpočty!$Z$246:$AK$508,12,0)))</f>
        <v>KOMP.</v>
      </c>
      <c r="K47" s="548">
        <f>IF(VLOOKUP(CHYBY!$Q$6,CHYBY!$L:$N,3,FALSE)=1,"",IF(výpočty!S49=2,0,IF(VEDENI&gt;2,výpočty!AT54," ")))</f>
        <v>27.88409</v>
      </c>
      <c r="L47" s="548"/>
      <c r="M47" s="365">
        <f>IF(VLOOKUP(CHYBY!$Q$6,CHYBY!$L:$N,3,FALSE)=1,"",IF(výpočty!S49=2,"",IF(VEDENI&gt;2,výpočty!AV54,"")))</f>
        <v>0</v>
      </c>
      <c r="N47" s="217" t="str">
        <f>IF(VLOOKUP(CHYBY!$Q$6,CHYBY!$L:$N,3,FALSE)=1,"",IF(výpočty!S49=2,0,VLOOKUP(C47,výpočty!$Z$246:$AJ$508,11,0)))</f>
        <v>S72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2">
      <c r="A48" s="205" t="s">
        <v>2150</v>
      </c>
      <c r="C48" s="216">
        <f>IF(VLOOKUP(CHYBY!$Q$6,CHYBY!$L:$N,3,FALSE)=1,"",IF(C47=výpočty!AA197,výpočty!AA235,IF(C47=výpočty!AA198,výpočty!AA236,0)))</f>
        <v>0</v>
      </c>
      <c r="D48" s="494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494"/>
      <c r="F48" s="494"/>
      <c r="G48" s="494"/>
      <c r="H48" s="495">
        <f>IF(VLOOKUP(CHYBY!$Q$6,CHYBY!$L:$N,3,FALSE)=1,"",IF(výpočty!S55=2,0,IF(C48=0,0,IF(VEDENI&gt;2,výpočty!AR54," "))))</f>
        <v>0</v>
      </c>
      <c r="I48" s="495"/>
      <c r="J48" s="229">
        <f>IF(VLOOKUP(CHYBY!$Q$6,CHYBY!$L:$N,3,FALSE)=1,"",IF(výpočty!S55=2,0,VLOOKUP(C48,výpočty!$Z$246:$AK$508,12,0)))</f>
        <v>0</v>
      </c>
      <c r="K48" s="492">
        <f>IF(VLOOKUP(CHYBY!$Q$6,CHYBY!$L:$N,3,FALSE)=1,"",IF(C48=0,0,IF(výpočty!S55=2,0,VLOOKUP(C48,výpočty!AA235:AD236,3,0))))</f>
        <v>0</v>
      </c>
      <c r="L48" s="493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2">
      <c r="A49" s="205" t="s">
        <v>2151</v>
      </c>
      <c r="C49" s="222" t="str">
        <f>IF(VLOOKUP(CHYBY!$Q$6,CHYBY!$L:$N,3,FALSE)=1,"",IF(AI49=výpočty!AA172,IF(BARVA=3,výpočty!AA173,IF(BARVA=4,výpočty!AA173,IF(BARVA=12,výpočty!AA173,IF(BARVA=13,výpočty!AA173,AI49)))),AI49))</f>
        <v>R95799</v>
      </c>
      <c r="D49" s="497" t="str">
        <f>IF(VLOOKUP(CHYBY!$Q$6,CHYBY!$L:$N,3,FALSE)=1,"",IF(C49=výpočty!AA173,výpočty!AB173,AJ49))</f>
        <v>Róg list.tor. 90 °  Top/Frame</v>
      </c>
      <c r="E49" s="498"/>
      <c r="F49" s="498"/>
      <c r="G49" s="221"/>
      <c r="H49" s="495">
        <f>IF(VLOOKUP(CHYBY!$Q$6,CHYBY!$L:$N,3,FALSE)=1,"",IF(AI49=Překlady!A84,Překlady!A84,IF(výpočty!S51=2,0,IF(NAVIJENI=1,4*$F$21,1*$F$21))))</f>
        <v>0</v>
      </c>
      <c r="I49" s="495"/>
      <c r="J49" s="229" t="str">
        <f>IF(VLOOKUP(CHYBY!$Q$6,CHYBY!$L:$N,3,FALSE)=1,"",IF(výpočty!S51=2,0,VLOOKUP(AI49,výpočty!$Z$246:$AK$508,12,0)))</f>
        <v>SZT.</v>
      </c>
      <c r="K49" s="492">
        <f>IF(VLOOKUP(CHYBY!$Q$6,CHYBY!$L:$N,3,FALSE)=1,"",IF(výpočty!S51=2,0,IF(NAVIJENI=1,IF(VEDENI=1,výpočty!AT31,IF(VEDENI=2,výpočty!AT42,výpočty!AT56)),IF(NAVIJENI=2,IF(VEDENI&lt;3,výpočty!AT35,výpočty!AT55),výpočty!AT36))))</f>
        <v>6.6591399999999998</v>
      </c>
      <c r="L49" s="493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64" t="str">
        <f>IF(NAVIJENI=1,IF(VEDENI=1,výpočty!AO31,IF(VEDENI=2,výpočty!AO42,výpočty!AO56)),IF(NAVIJENI=2,IF(VEDENI&lt;3,výpočty!AO35,výpočty!AO55),výpočty!AO36))</f>
        <v>Róg list.tor. 90 °  Top/Frame</v>
      </c>
      <c r="U49" s="564"/>
      <c r="V49" s="564"/>
      <c r="W49" s="564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Róg list.tor. 90 °  Top/Frame</v>
      </c>
      <c r="Y49" s="205" t="str">
        <f>IF(NAVIJENI=1,IF(VEDENI=1,výpočty!AQ31,IF(VEDENI=2,výpočty!AQ42,výpočty!AQ56)),IF(NAVIJENI=2,IF(VEDENI&lt;3,výpočty!AQ35,výpočty!AQ55),výpočty!AQ36))</f>
        <v>R95799</v>
      </c>
      <c r="Z49" s="586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Róg list.tor. 90 °  Top/Frame</v>
      </c>
      <c r="AA49" s="586"/>
      <c r="AB49" s="586"/>
      <c r="AC49" s="586"/>
      <c r="AD49" s="205" t="str">
        <f>IF(VEDENI=1,IF(NAVIJENI=2,Překlady!B93,Z49),Z49)</f>
        <v>Róg list.tor. 90 °  Top/Frame</v>
      </c>
      <c r="AI49" s="216" t="str">
        <f>IF(VEDENI=1,IF(NAVIJENI=2,Překlady!A84,'Objednávka žaluzií'!Y49),'Objednávka žaluzií'!Y49)</f>
        <v>R95799</v>
      </c>
      <c r="AJ49" s="497" t="str">
        <f>IF(P49=0,IF(VEDENI=1,IF(NAVIJENI=2,Překlady!B93,Z49),Z49),CONCATENATE(IF(VEDENI=1,IF(NAVIJENI=2,Překlady!B93,Z49),Z49)," (X",P49,")"))</f>
        <v>Róg list.tor. 90 °  Top/Frame</v>
      </c>
      <c r="AK49" s="498"/>
      <c r="AL49" s="498"/>
      <c r="AM49" s="582"/>
    </row>
    <row r="50" spans="1:39" ht="15.75" customHeight="1" x14ac:dyDescent="0.2">
      <c r="C50" s="216">
        <f>IF(VLOOKUP(CHYBY!$Q$6,CHYBY!$L:$N,3,FALSE)=1,"",IF(C45=výpočty!AA162,IF(NAVIJENI=3,výpočty!AA234,0),0))</f>
        <v>0</v>
      </c>
      <c r="D50" s="494">
        <f>IF(VLOOKUP(CHYBY!$Q$6,CHYBY!$L:$N,3,FALSE)=1,"",IF(P50=0,IF(C50=výpočty!AA234,výpočty!AB234,0),CONCATENATE(IF(C50=výpočty!AA234,výpočty!AB234,0)," (X",P50,")")))</f>
        <v>0</v>
      </c>
      <c r="E50" s="494"/>
      <c r="F50" s="494"/>
      <c r="G50" s="494"/>
      <c r="H50" s="495">
        <f>IF(VLOOKUP(CHYBY!$Q$6,CHYBY!$L:$N,3,FALSE)=1,"",IF(výpočty!S53=2,0,IF(C50=výpočty!AA234,F21,0)))</f>
        <v>0</v>
      </c>
      <c r="I50" s="495"/>
      <c r="J50" s="229">
        <f>IF(VLOOKUP(CHYBY!$Q$6,CHYBY!$L:$N,3,FALSE)=1,"",IF(výpočty!S53=2,0,VLOOKUP(C50,výpočty!$Z$246:$AK$508,12,0)))</f>
        <v>0</v>
      </c>
      <c r="K50" s="492">
        <f>IF(VLOOKUP(CHYBY!$Q$6,CHYBY!$L:$N,3,FALSE)=1,"",IF(výpočty!S53=2,0,IF(C50=výpočty!AA234,výpočty!AC234,0)))</f>
        <v>0</v>
      </c>
      <c r="L50" s="493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2">
      <c r="C51" s="277"/>
      <c r="D51" s="501"/>
      <c r="E51" s="501"/>
      <c r="F51" s="501"/>
      <c r="G51" s="501"/>
      <c r="H51" s="531"/>
      <c r="I51" s="531"/>
      <c r="J51" s="278"/>
      <c r="K51" s="502"/>
      <c r="L51" s="503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2">
      <c r="C52" s="370" t="str">
        <f>Překlady!A94</f>
        <v>taśma klejąca do przyklejenia żaluzji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2">
      <c r="A53" s="205" t="s">
        <v>2152</v>
      </c>
      <c r="C53" s="216" t="str">
        <f>IF(VLOOKUP(CHYBY!$Q$6,CHYBY!$L:$N,3,FALSE)=1,"",IF(výpočty!X22=1,výpočty!AA239,výpočty!AA238))</f>
        <v>R95879M</v>
      </c>
      <c r="D53" s="494" t="str">
        <f>IF(VLOOKUP(CHYBY!$Q$6,CHYBY!$L:$N,3,FALSE)=1,"",IF(C53=0,0,VLOOKUP('Objednávka žaluzií'!C53,výpočty!$AA$238:$AD$239,2,0)))</f>
        <v>Taśma klejąca do przylepienia żaluzji</v>
      </c>
      <c r="E53" s="494"/>
      <c r="F53" s="494"/>
      <c r="G53" s="494"/>
      <c r="H53" s="495">
        <f>IF(VLOOKUP(CHYBY!$Q$6,CHYBY!$L:$N,3,FALSE)=1,"",IF(výpočty!S54=2,0,IF(C53=výpočty!AA238,1,IF('Objednávka žaluzií'!C53=výpočty!AA239,(V53*F21),0))))</f>
        <v>0</v>
      </c>
      <c r="I53" s="495"/>
      <c r="J53" s="229" t="str">
        <f>IF(VLOOKUP(CHYBY!$Q$6,CHYBY!$L:$N,3,FALSE)=1,"",IF(výpočty!S54=2,0,VLOOKUP(C53,výpočty!$Z$246:$AK$508,12,0)))</f>
        <v>MB</v>
      </c>
      <c r="K53" s="492">
        <f>IF(VLOOKUP(CHYBY!$Q$6,CHYBY!$L:$N,3,FALSE)=1,"",IF(výpočty!S54=2,0,IF(C53=0,0,VLOOKUP(C53,výpočty!$AA$238:$AD$239,3,0))))</f>
        <v>3.3436300000000001</v>
      </c>
      <c r="L53" s="493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2">
      <c r="C54" s="370" t="str">
        <f>Překlady!$A$32</f>
        <v>Opłata za przygotowanie kompletu na miarę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2">
      <c r="A55" s="205" t="s">
        <v>2153</v>
      </c>
      <c r="C55" s="220" t="str">
        <f>IF(VLOOKUP(CHYBY!$Q$6,CHYBY!$L:$N,3,FALSE)=1,"",IF(výpočty!X22=1,výpočty!AA237,0))</f>
        <v>R99999</v>
      </c>
      <c r="D55" s="514" t="str">
        <f>IF(VLOOKUP(CHYBY!$Q$6,CHYBY!$L:$N,3,FALSE)=1,"",IF(C55=výpočty!AA237,výpočty!AB237,0))</f>
        <v>opłata za przygotowanie żaluzji</v>
      </c>
      <c r="E55" s="515"/>
      <c r="F55" s="515"/>
      <c r="G55" s="516"/>
      <c r="H55" s="506">
        <f>IF(VLOOKUP(CHYBY!$Q$6,CHYBY!$L:$N,3,FALSE)=1,"",IF(C55=výpočty!AA237,F21,0))</f>
        <v>0</v>
      </c>
      <c r="I55" s="507"/>
      <c r="J55" s="230" t="str">
        <f>IF(VLOOKUP(CHYBY!$Q$6,CHYBY!$L:$N,3,FALSE)=1,"",IF(výpočty!S50=2,0,VLOOKUP(C55,výpočty!$Z$246:$AK$508,12,0)))</f>
        <v>SZT.</v>
      </c>
      <c r="K55" s="525">
        <f>IF(VLOOKUP(CHYBY!$Q$6,CHYBY!$L:$N,3,FALSE)=1,"",IF(C55=výpočty!AA237,výpočty!AC237,0))</f>
        <v>40</v>
      </c>
      <c r="L55" s="525"/>
      <c r="M55" s="302">
        <f>IF(VLOOKUP(CHYBY!$Q$6,CHYBY!$L:$N,3,FALSE)=1,"",H55*K55)</f>
        <v>0</v>
      </c>
      <c r="N55" s="526"/>
      <c r="O55" s="527"/>
    </row>
    <row r="56" spans="1:39" ht="8.25" customHeight="1" x14ac:dyDescent="0.2">
      <c r="C56" s="222"/>
      <c r="D56" s="221"/>
      <c r="E56" s="221"/>
      <c r="F56" s="524"/>
      <c r="G56" s="524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2">
      <c r="C57" s="518" t="str">
        <f>Překlady!$A$33</f>
        <v xml:space="preserve">W sumie </v>
      </c>
      <c r="D57" s="519"/>
      <c r="E57" s="519"/>
      <c r="F57" s="519"/>
      <c r="G57" s="519"/>
      <c r="H57" s="519"/>
      <c r="I57" s="519"/>
      <c r="J57" s="519"/>
      <c r="K57" s="519"/>
      <c r="L57" s="520"/>
      <c r="M57" s="528">
        <f>IFERROR(SUM(M32:M55),Překlady!A84)</f>
        <v>0</v>
      </c>
      <c r="N57" s="529"/>
      <c r="O57" s="530"/>
      <c r="P57" s="373"/>
    </row>
    <row r="58" spans="1:39" ht="8.25" customHeight="1" x14ac:dyDescent="0.2">
      <c r="C58" s="222"/>
      <c r="D58" s="221"/>
      <c r="E58" s="221"/>
      <c r="F58" s="524"/>
      <c r="G58" s="524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2">
      <c r="C59" s="521" t="str">
        <f>Překlady!$A$9</f>
        <v>Uwagi</v>
      </c>
      <c r="D59" s="508"/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9"/>
    </row>
    <row r="60" spans="1:39" ht="11.25" customHeight="1" x14ac:dyDescent="0.2">
      <c r="C60" s="522"/>
      <c r="D60" s="510"/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1"/>
    </row>
    <row r="61" spans="1:39" ht="11.25" customHeight="1" x14ac:dyDescent="0.2">
      <c r="C61" s="522"/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1"/>
    </row>
    <row r="62" spans="1:39" ht="11.25" customHeight="1" x14ac:dyDescent="0.2">
      <c r="C62" s="522"/>
      <c r="D62" s="510"/>
      <c r="E62" s="510"/>
      <c r="F62" s="510"/>
      <c r="G62" s="510"/>
      <c r="H62" s="510"/>
      <c r="I62" s="510"/>
      <c r="J62" s="510"/>
      <c r="K62" s="510"/>
      <c r="L62" s="510"/>
      <c r="M62" s="510"/>
      <c r="N62" s="510"/>
      <c r="O62" s="511"/>
    </row>
    <row r="63" spans="1:39" ht="11.25" customHeight="1" x14ac:dyDescent="0.2">
      <c r="C63" s="522"/>
      <c r="D63" s="510"/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1"/>
    </row>
    <row r="64" spans="1:39" ht="11.25" customHeight="1" x14ac:dyDescent="0.2">
      <c r="C64" s="522"/>
      <c r="D64" s="510"/>
      <c r="E64" s="510"/>
      <c r="F64" s="510"/>
      <c r="G64" s="510"/>
      <c r="H64" s="510"/>
      <c r="I64" s="510"/>
      <c r="J64" s="510"/>
      <c r="K64" s="510"/>
      <c r="L64" s="510"/>
      <c r="M64" s="510"/>
      <c r="N64" s="510"/>
      <c r="O64" s="511"/>
    </row>
    <row r="65" spans="3:15" ht="11.25" customHeight="1" x14ac:dyDescent="0.2">
      <c r="C65" s="522"/>
      <c r="D65" s="510"/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1"/>
    </row>
    <row r="66" spans="3:15" ht="11.25" customHeight="1" x14ac:dyDescent="0.2">
      <c r="C66" s="522"/>
      <c r="D66" s="510"/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1"/>
    </row>
    <row r="67" spans="3:15" ht="11.25" customHeight="1" x14ac:dyDescent="0.2">
      <c r="C67" s="523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3"/>
    </row>
    <row r="68" spans="3:15" ht="22.5" customHeight="1" x14ac:dyDescent="0.2">
      <c r="C68" s="499" t="str">
        <f>Překlady!$A$103</f>
        <v>Instrukcje montażu są dostępne na naszym portalu www.demos24plus.com</v>
      </c>
      <c r="D68" s="500"/>
      <c r="E68" s="500"/>
      <c r="F68" s="500"/>
      <c r="G68" s="500"/>
      <c r="H68" s="500"/>
      <c r="I68" s="500"/>
      <c r="J68" s="500"/>
      <c r="K68" s="500"/>
      <c r="L68" s="500"/>
      <c r="M68" s="517" t="s">
        <v>1532</v>
      </c>
      <c r="N68" s="517"/>
      <c r="O68" s="517"/>
    </row>
    <row r="69" spans="3:15" ht="11.25" customHeight="1" x14ac:dyDescent="0.2">
      <c r="C69" s="239" t="str">
        <f>Překlady!$A$105</f>
        <v>Pion.25.01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Podane ceny nie zawierają podatku VAT i obowiązują od06.01.2025</v>
      </c>
    </row>
  </sheetData>
  <sheetProtection algorithmName="SHA-512" hashValue="ckmLI8ZOnrcuk9dV7ZwEENNPuuG2mr9+ohPHCAIvjy8mrQPiNbDJTsnCzm4P6RWNzjJiVrSxUYVsiXxTzL0iEw==" saltValue="qzXpSaYIiA8ReoXt/bzJkQ==" spinCount="100000" sheet="1" selectLockedCells="1"/>
  <mergeCells count="109"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28575</xdr:rowOff>
                  </from>
                  <to>
                    <xdr:col>14</xdr:col>
                    <xdr:colOff>495300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200025</xdr:rowOff>
                  </from>
                  <to>
                    <xdr:col>14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704850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704850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200025</xdr:rowOff>
                  </from>
                  <to>
                    <xdr:col>14</xdr:col>
                    <xdr:colOff>704850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200025</xdr:rowOff>
                  </from>
                  <to>
                    <xdr:col>14</xdr:col>
                    <xdr:colOff>704850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704850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200025</xdr:rowOff>
                  </from>
                  <to>
                    <xdr:col>14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704850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704850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704850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704850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704850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704850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742950</xdr:colOff>
                    <xdr:row>52</xdr:row>
                    <xdr:rowOff>0</xdr:rowOff>
                  </from>
                  <to>
                    <xdr:col>14</xdr:col>
                    <xdr:colOff>704850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704850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704850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J23" sqref="J23"/>
    </sheetView>
  </sheetViews>
  <sheetFormatPr defaultRowHeight="12.75" x14ac:dyDescent="0.2"/>
  <cols>
    <col min="1" max="1" width="23.7109375" bestFit="1" customWidth="1"/>
    <col min="2" max="2" width="16.85546875" bestFit="1" customWidth="1"/>
    <col min="3" max="3" width="45.5703125" bestFit="1" customWidth="1"/>
    <col min="4" max="4" width="28.85546875" bestFit="1" customWidth="1"/>
    <col min="7" max="7" width="111" customWidth="1"/>
    <col min="8" max="8" width="18.7109375" bestFit="1" customWidth="1"/>
    <col min="10" max="10" width="11.42578125" bestFit="1" customWidth="1"/>
    <col min="11" max="11" width="16" bestFit="1" customWidth="1"/>
    <col min="13" max="13" width="137.42578125" bestFit="1" customWidth="1"/>
    <col min="16" max="16" width="17.7109375" bestFit="1" customWidth="1"/>
    <col min="17" max="17" width="11.42578125" bestFit="1" customWidth="1"/>
    <col min="20" max="20" width="16.28515625" bestFit="1" customWidth="1"/>
    <col min="23" max="23" width="27.85546875" bestFit="1" customWidth="1"/>
  </cols>
  <sheetData>
    <row r="1" spans="1:23" ht="13.5" thickBot="1" x14ac:dyDescent="0.25">
      <c r="A1" t="s">
        <v>1211</v>
      </c>
      <c r="B1" t="s">
        <v>1304</v>
      </c>
      <c r="C1" t="s">
        <v>1214</v>
      </c>
      <c r="D1" t="s">
        <v>1217</v>
      </c>
      <c r="E1" t="s">
        <v>2128</v>
      </c>
      <c r="F1" s="321" t="s">
        <v>2174</v>
      </c>
      <c r="G1" t="s">
        <v>2129</v>
      </c>
      <c r="H1" t="s">
        <v>1211</v>
      </c>
      <c r="I1" t="s">
        <v>1304</v>
      </c>
      <c r="J1" t="s">
        <v>1214</v>
      </c>
      <c r="K1" t="s">
        <v>1217</v>
      </c>
      <c r="P1" s="344" t="s">
        <v>2141</v>
      </c>
      <c r="Q1" s="340"/>
      <c r="U1" s="17" t="s">
        <v>2155</v>
      </c>
    </row>
    <row r="2" spans="1:23" ht="13.5" thickBot="1" x14ac:dyDescent="0.25">
      <c r="A2" s="255" t="str">
        <f>výpočty!$R$14</f>
        <v>Pionowy (z góry na dół)</v>
      </c>
      <c r="B2" s="256" t="str">
        <f>výpočty!$R$9</f>
        <v>Do tyłu</v>
      </c>
      <c r="C2" t="str">
        <f>výpočty!$R$3</f>
        <v>TOP Basic - wpuszczany do przykręcenia plastikowy</v>
      </c>
      <c r="D2" s="26" t="str">
        <f>výpočty!$W$3</f>
        <v>Czarny (E23)</v>
      </c>
      <c r="E2" t="s">
        <v>2130</v>
      </c>
      <c r="F2">
        <v>0</v>
      </c>
      <c r="G2" t="s">
        <v>2140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1930</v>
      </c>
      <c r="V2">
        <f>VEDENI</f>
        <v>3</v>
      </c>
      <c r="W2" t="str">
        <f>VLOOKUP(V2,výpočty!Q3:S7,2,FALSE)</f>
        <v>Frame - nakładany z listwą maskującą</v>
      </c>
    </row>
    <row r="3" spans="1:23" ht="13.5" thickBot="1" x14ac:dyDescent="0.25">
      <c r="A3" s="255" t="str">
        <f>výpočty!$R$14</f>
        <v>Pionowy (z góry na dół)</v>
      </c>
      <c r="B3" s="256" t="str">
        <f>výpočty!$R$9</f>
        <v>Do tyłu</v>
      </c>
      <c r="C3" t="str">
        <f>výpočty!$R$3</f>
        <v>TOP Basic - wpuszczany do przykręcenia plastikowy</v>
      </c>
      <c r="D3" s="36" t="str">
        <f>výpočty!$W$4</f>
        <v>Biały (E23)</v>
      </c>
      <c r="E3" t="s">
        <v>2130</v>
      </c>
      <c r="F3">
        <v>0</v>
      </c>
      <c r="G3" t="s">
        <v>2140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1931</v>
      </c>
      <c r="V3">
        <f>NAVIJENI</f>
        <v>1</v>
      </c>
      <c r="W3" t="str">
        <f>VLOOKUP(V3,výpočty!Q9:R11,2,FALSE)</f>
        <v>Do tyłu</v>
      </c>
    </row>
    <row r="4" spans="1:23" ht="13.5" thickBot="1" x14ac:dyDescent="0.25">
      <c r="A4" s="255" t="str">
        <f>výpočty!$R$14</f>
        <v>Pionowy (z góry na dół)</v>
      </c>
      <c r="B4" s="256" t="str">
        <f>výpočty!$R$9</f>
        <v>Do tyłu</v>
      </c>
      <c r="C4" t="str">
        <f>výpočty!$R$3</f>
        <v>TOP Basic - wpuszczany do przykręcenia plastikowy</v>
      </c>
      <c r="D4" s="36" t="str">
        <f>výpočty!$W$5</f>
        <v>Szary (E23)</v>
      </c>
      <c r="E4" t="s">
        <v>2130</v>
      </c>
      <c r="F4">
        <v>0</v>
      </c>
      <c r="G4" t="s">
        <v>2140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C</v>
      </c>
      <c r="U4" s="320" t="s">
        <v>1932</v>
      </c>
      <c r="V4">
        <f>SMER</f>
        <v>1</v>
      </c>
      <c r="W4" t="str">
        <f>VLOOKUP(V4,výpočty!Q14:R15,2,FALSE)</f>
        <v>Pionowy (z góry na dół)</v>
      </c>
    </row>
    <row r="5" spans="1:23" ht="13.5" thickBot="1" x14ac:dyDescent="0.25">
      <c r="A5" s="255" t="str">
        <f>výpočty!$R$14</f>
        <v>Pionowy (z góry na dół)</v>
      </c>
      <c r="B5" s="256" t="str">
        <f>výpočty!$R$9</f>
        <v>Do tyłu</v>
      </c>
      <c r="C5" t="str">
        <f>výpočty!$R$3</f>
        <v>TOP Basic - wpuszczany do przykręcenia plastikowy</v>
      </c>
      <c r="D5" s="36" t="str">
        <f>výpočty!$W$6</f>
        <v>Aluminowa plastik (E23)</v>
      </c>
      <c r="E5" t="s">
        <v>2130</v>
      </c>
      <c r="F5">
        <v>0</v>
      </c>
      <c r="G5" t="s">
        <v>2140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1933</v>
      </c>
      <c r="V5">
        <f>výpočty!Y4</f>
        <v>1</v>
      </c>
      <c r="W5" t="str">
        <f>VLOOKUP(V5,výpočty!V3:W20,2,FALSE)</f>
        <v>Czarny (E23)</v>
      </c>
    </row>
    <row r="6" spans="1:23" ht="13.5" thickBot="1" x14ac:dyDescent="0.25">
      <c r="A6" s="255" t="str">
        <f>výpočty!$R$14</f>
        <v>Pionowy (z góry na dół)</v>
      </c>
      <c r="B6" s="256" t="str">
        <f>výpočty!$R$9</f>
        <v>Do tyłu</v>
      </c>
      <c r="C6" t="str">
        <f>výpočty!$R$3</f>
        <v>TOP Basic - wpuszczany do przykręcenia plastikowy</v>
      </c>
      <c r="D6" s="36" t="str">
        <f>výpočty!$W$7</f>
        <v>Buk (E23)</v>
      </c>
      <c r="E6" t="s">
        <v>2130</v>
      </c>
      <c r="F6">
        <v>0</v>
      </c>
      <c r="G6" t="s">
        <v>2140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VXC1</v>
      </c>
    </row>
    <row r="7" spans="1:23" x14ac:dyDescent="0.2">
      <c r="A7" s="255" t="str">
        <f>výpočty!$R$14</f>
        <v>Pionowy (z góry na dół)</v>
      </c>
      <c r="B7" s="256" t="str">
        <f>výpočty!$R$9</f>
        <v>Do tyłu</v>
      </c>
      <c r="C7" t="str">
        <f>výpočty!$R$3</f>
        <v>TOP Basic - wpuszczany do przykręcenia plastikowy</v>
      </c>
      <c r="D7" s="36" t="str">
        <f>výpočty!$W$8</f>
        <v>Czereśnia (E23)</v>
      </c>
      <c r="E7" t="s">
        <v>2130</v>
      </c>
      <c r="F7">
        <v>0</v>
      </c>
      <c r="G7" t="s">
        <v>2140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x14ac:dyDescent="0.2">
      <c r="A8" s="255" t="str">
        <f>výpočty!$R$14</f>
        <v>Pionowy (z góry na dół)</v>
      </c>
      <c r="B8" s="256" t="str">
        <f>výpočty!$R$9</f>
        <v>Do tyłu</v>
      </c>
      <c r="C8" t="str">
        <f>výpočty!$R$3</f>
        <v>TOP Basic - wpuszczany do przykręcenia plastikowy</v>
      </c>
      <c r="D8" s="36" t="str">
        <f>výpočty!$W$9</f>
        <v>Klon (E23)</v>
      </c>
      <c r="E8" t="s">
        <v>2130</v>
      </c>
      <c r="F8">
        <v>0</v>
      </c>
      <c r="G8" t="s">
        <v>2140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1986</v>
      </c>
      <c r="V8">
        <f>'Objednávka žaluzií'!M11</f>
        <v>0</v>
      </c>
    </row>
    <row r="9" spans="1:23" x14ac:dyDescent="0.2">
      <c r="A9" s="255" t="str">
        <f>výpočty!$R$14</f>
        <v>Pionowy (z góry na dół)</v>
      </c>
      <c r="B9" s="256" t="str">
        <f>výpočty!$R$9</f>
        <v>Do tyłu</v>
      </c>
      <c r="C9" t="str">
        <f>výpočty!$R$3</f>
        <v>TOP Basic - wpuszczany do przykręcenia plastikowy</v>
      </c>
      <c r="D9" s="36" t="str">
        <f>výpočty!$W$10</f>
        <v>Brzoza (E23)</v>
      </c>
      <c r="E9" t="s">
        <v>2130</v>
      </c>
      <c r="F9">
        <v>0</v>
      </c>
      <c r="G9" t="s">
        <v>2140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2156</v>
      </c>
      <c r="V9">
        <f>'Objednávka žaluzií'!M13</f>
        <v>0</v>
      </c>
    </row>
    <row r="10" spans="1:23" x14ac:dyDescent="0.2">
      <c r="A10" s="255" t="str">
        <f>výpočty!$R$14</f>
        <v>Pionowy (z góry na dół)</v>
      </c>
      <c r="B10" s="256" t="str">
        <f>výpočty!$R$9</f>
        <v>Do tyłu</v>
      </c>
      <c r="C10" t="str">
        <f>výpočty!$R$3</f>
        <v>TOP Basic - wpuszczany do przykręcenia plastikowy</v>
      </c>
      <c r="D10" s="36" t="str">
        <f>výpočty!$W$11</f>
        <v>Czereśnia havana (E23)</v>
      </c>
      <c r="E10" t="s">
        <v>2130</v>
      </c>
      <c r="F10">
        <v>0</v>
      </c>
      <c r="G10" t="s">
        <v>2140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x14ac:dyDescent="0.2">
      <c r="A11" s="255" t="str">
        <f>výpočty!$R$14</f>
        <v>Pionowy (z góry na dół)</v>
      </c>
      <c r="B11" s="256" t="str">
        <f>výpočty!$R$9</f>
        <v>Do tyłu</v>
      </c>
      <c r="C11" t="str">
        <f>výpočty!$R$3</f>
        <v>TOP Basic - wpuszczany do przykręcenia plastikowy</v>
      </c>
      <c r="D11" s="36" t="str">
        <f>výpočty!$W$12</f>
        <v>Calvados (E23)</v>
      </c>
      <c r="E11" t="s">
        <v>2130</v>
      </c>
      <c r="F11">
        <v>0</v>
      </c>
      <c r="G11" t="s">
        <v>2140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91" t="s">
        <v>2287</v>
      </c>
      <c r="U11" s="347" t="str">
        <f>IF(AND(V7&gt;800,V3&lt;&gt;3,V4=1),Překlady!A155,"")</f>
        <v/>
      </c>
    </row>
    <row r="12" spans="1:23" x14ac:dyDescent="0.2">
      <c r="A12" s="255" t="str">
        <f>výpočty!$R$14</f>
        <v>Pionowy (z góry na dół)</v>
      </c>
      <c r="B12" s="256" t="str">
        <f>výpočty!$R$9</f>
        <v>Do tyłu</v>
      </c>
      <c r="C12" t="str">
        <f>výpočty!$R$3</f>
        <v>TOP Basic - wpuszczany do przykręcenia plastikowy</v>
      </c>
      <c r="D12" s="350" t="str">
        <f>výpočty!$W$14</f>
        <v>śnieżno biala mat (E9)</v>
      </c>
      <c r="E12" s="321" t="s">
        <v>2131</v>
      </c>
      <c r="F12" s="321">
        <v>1</v>
      </c>
      <c r="G12" s="321" t="str">
        <f>Překlady!$A$142</f>
        <v>Kolor śnieżno biały w profilu E9 można łączyć jedynie z prowadzeniem Classic i systemem nawijania do tyłu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Kolor śnieżno biały w profilu E9 można łączyć jedynie z prowadzeniem Classic i systemem nawijania do tyłu</v>
      </c>
      <c r="N12">
        <f t="shared" si="2"/>
        <v>1</v>
      </c>
      <c r="T12" s="591"/>
      <c r="U12" s="347" t="str">
        <f>IF(AND(V8&gt;(1200-36),V4=1),Překlady!A156,"")</f>
        <v/>
      </c>
    </row>
    <row r="13" spans="1:23" x14ac:dyDescent="0.2">
      <c r="A13" s="255" t="str">
        <f>výpočty!$R$14</f>
        <v>Pionowy (z góry na dół)</v>
      </c>
      <c r="B13" s="256" t="str">
        <f>výpočty!$R$9</f>
        <v>Do tyłu</v>
      </c>
      <c r="C13" t="str">
        <f>výpočty!$R$3</f>
        <v>TOP Basic - wpuszczany do przykręcenia plastikowy</v>
      </c>
      <c r="D13" s="36" t="str">
        <f>výpočty!$W$15</f>
        <v>Aluminowa plastik (E4)</v>
      </c>
      <c r="E13" t="s">
        <v>2131</v>
      </c>
      <c r="F13">
        <v>1</v>
      </c>
      <c r="G13" s="321" t="str">
        <f>Překlady!$A$143</f>
        <v>Kolor aluminium plastik w profilu E4 jest idealny do poziomych rozwiązań w kombinacji z prowadzeniem Classic z systemem nawijania do tyłu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>Kolor aluminium plastik w profilu E4 jest idealny do poziomych rozwiązań w kombinacji z prowadzeniem Classic z systemem nawijania do tyłu</v>
      </c>
      <c r="N13">
        <f t="shared" si="2"/>
        <v>1</v>
      </c>
      <c r="T13" s="591"/>
      <c r="U13" s="349" t="str">
        <f>IF(AND(V4=2,V5&lt;&gt;13,V7&gt;1150),Překlady!A157,"")</f>
        <v/>
      </c>
    </row>
    <row r="14" spans="1:23" x14ac:dyDescent="0.2">
      <c r="A14" s="255" t="str">
        <f>výpočty!$R$14</f>
        <v>Pionowy (z góry na dół)</v>
      </c>
      <c r="B14" s="256" t="str">
        <f>výpočty!$R$9</f>
        <v>Do tyłu</v>
      </c>
      <c r="C14" t="str">
        <f>výpočty!$R$3</f>
        <v>TOP Basic - wpuszczany do przykręcenia plastikowy</v>
      </c>
      <c r="D14" s="36">
        <f>výpočty!$W$17</f>
        <v>0</v>
      </c>
      <c r="E14" t="s">
        <v>2131</v>
      </c>
      <c r="F14">
        <v>1</v>
      </c>
      <c r="G14" s="321" t="str">
        <f>Překlady!$A$144</f>
        <v>Systemu prowadzenia TOP BASIC nie da się zastosować z roletowym profilem Metallic line. Należy wybrać wersję TOP.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Systemu prowadzenia TOP BASIC nie da się zastosować z roletowym profilem Metallic line. Należy wybrać wersję TOP.</v>
      </c>
      <c r="N14">
        <f t="shared" si="2"/>
        <v>1</v>
      </c>
      <c r="T14" s="591"/>
      <c r="U14" s="347" t="str">
        <f>IF(AND(V4=2,V5=13,V7&gt;1900),Překlady!A158,"")</f>
        <v/>
      </c>
    </row>
    <row r="15" spans="1:23" x14ac:dyDescent="0.2">
      <c r="A15" s="255" t="str">
        <f>výpočty!$R$14</f>
        <v>Pionowy (z góry na dół)</v>
      </c>
      <c r="B15" s="256" t="str">
        <f>výpočty!$R$9</f>
        <v>Do tyłu</v>
      </c>
      <c r="C15" t="str">
        <f>výpočty!$R$3</f>
        <v>TOP Basic - wpuszczany do przykręcenia plastikowy</v>
      </c>
      <c r="D15" s="36">
        <f>výpočty!$W$18</f>
        <v>0</v>
      </c>
      <c r="E15" t="s">
        <v>2131</v>
      </c>
      <c r="F15">
        <v>1</v>
      </c>
      <c r="G15" s="321" t="str">
        <f>Překlady!$A$144</f>
        <v>Systemu prowadzenia TOP BASIC nie da się zastosować z roletowym profilem Metallic line. Należy wybrać wersję TOP.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Systemu prowadzenia TOP BASIC nie da się zastosować z roletowym profilem Metallic line. Należy wybrać wersję TOP.</v>
      </c>
      <c r="N15">
        <f t="shared" si="2"/>
        <v>1</v>
      </c>
      <c r="T15" s="591"/>
      <c r="U15" s="347" t="str">
        <f>IF(AND(V4=1,V3=3,OR(OR(V7&lt;(650-36),V7&gt;(2200-36)),OR(V8&lt;(400-36),V8&gt;(1200-36)))),Překlady!A171,"")</f>
        <v/>
      </c>
    </row>
    <row r="16" spans="1:23" x14ac:dyDescent="0.2">
      <c r="A16" s="255" t="str">
        <f>výpočty!$R$14</f>
        <v>Pionowy (z góry na dół)</v>
      </c>
      <c r="B16" s="256" t="str">
        <f>výpočty!$R$9</f>
        <v>Do tyłu</v>
      </c>
      <c r="C16" t="str">
        <f>výpočty!$R$3</f>
        <v>TOP Basic - wpuszczany do przykręcenia plastikowy</v>
      </c>
      <c r="D16" s="36" t="str">
        <f>výpočty!$W$19</f>
        <v>Aluminium szerokość 25 mm (metallic-line)</v>
      </c>
      <c r="E16" t="s">
        <v>2131</v>
      </c>
      <c r="F16">
        <v>1</v>
      </c>
      <c r="G16" s="321" t="str">
        <f>Překlady!$A$144</f>
        <v>Systemu prowadzenia TOP BASIC nie da się zastosować z roletowym profilem Metallic line. Należy wybrać wersję TOP.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Systemu prowadzenia TOP BASIC nie da się zastosować z roletowym profilem Metallic line. Należy wybrać wersję TOP.</v>
      </c>
      <c r="N16">
        <f t="shared" si="2"/>
        <v>1</v>
      </c>
    </row>
    <row r="17" spans="1:23" ht="13.5" thickBot="1" x14ac:dyDescent="0.25">
      <c r="A17" s="255" t="str">
        <f>výpočty!$R$14</f>
        <v>Pionowy (z góry na dół)</v>
      </c>
      <c r="B17" s="256" t="str">
        <f>výpočty!$R$9</f>
        <v>Do tyłu</v>
      </c>
      <c r="C17" t="str">
        <f>výpočty!$R$3</f>
        <v>TOP Basic - wpuszczany do przykręcenia plastikowy</v>
      </c>
      <c r="D17" s="27" t="str">
        <f>výpočty!$W$20</f>
        <v>Nierdz. szerokość 25 mm (metallic-line)</v>
      </c>
      <c r="E17" t="s">
        <v>2131</v>
      </c>
      <c r="F17">
        <v>1</v>
      </c>
      <c r="G17" s="321" t="str">
        <f>Překlady!$A$144</f>
        <v>Systemu prowadzenia TOP BASIC nie da się zastosować z roletowym profilem Metallic line. Należy wybrać wersję TOP.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Systemu prowadzenia TOP BASIC nie da się zastosować z roletowym profilem Metallic line. Należy wybrać wersję TOP.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x14ac:dyDescent="0.2">
      <c r="A18" s="255" t="str">
        <f>výpočty!$R$14</f>
        <v>Pionowy (z góry na dół)</v>
      </c>
      <c r="B18" s="256" t="str">
        <f>výpočty!$R$9</f>
        <v>Do tyłu</v>
      </c>
      <c r="C18" t="str">
        <f>výpočty!$R$4</f>
        <v>Classic - wpuszczany do zafrezowania</v>
      </c>
      <c r="D18" s="26" t="str">
        <f>výpočty!$W$3</f>
        <v>Czarny (E23)</v>
      </c>
      <c r="E18" t="s">
        <v>2130</v>
      </c>
      <c r="F18">
        <v>0</v>
      </c>
      <c r="G18" t="s">
        <v>2140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x14ac:dyDescent="0.2">
      <c r="A19" s="255" t="str">
        <f>výpočty!$R$14</f>
        <v>Pionowy (z góry na dół)</v>
      </c>
      <c r="B19" s="256" t="str">
        <f>výpočty!$R$9</f>
        <v>Do tyłu</v>
      </c>
      <c r="C19" t="str">
        <f>výpočty!$R$4</f>
        <v>Classic - wpuszczany do zafrezowania</v>
      </c>
      <c r="D19" s="36" t="str">
        <f>výpočty!$W$4</f>
        <v>Biały (E23)</v>
      </c>
      <c r="E19" t="s">
        <v>2130</v>
      </c>
      <c r="F19">
        <v>0</v>
      </c>
      <c r="G19" t="s">
        <v>2140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x14ac:dyDescent="0.2">
      <c r="A20" s="255" t="str">
        <f>výpočty!$R$14</f>
        <v>Pionowy (z góry na dół)</v>
      </c>
      <c r="B20" s="256" t="str">
        <f>výpočty!$R$9</f>
        <v>Do tyłu</v>
      </c>
      <c r="C20" t="str">
        <f>výpočty!$R$4</f>
        <v>Classic - wpuszczany do zafrezowania</v>
      </c>
      <c r="D20" s="36" t="str">
        <f>výpočty!$W$5</f>
        <v>Szary (E23)</v>
      </c>
      <c r="E20" t="s">
        <v>2130</v>
      </c>
      <c r="F20">
        <v>0</v>
      </c>
      <c r="G20" t="s">
        <v>2140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x14ac:dyDescent="0.2">
      <c r="A21" s="255" t="str">
        <f>výpočty!$R$14</f>
        <v>Pionowy (z góry na dół)</v>
      </c>
      <c r="B21" s="256" t="str">
        <f>výpočty!$R$9</f>
        <v>Do tyłu</v>
      </c>
      <c r="C21" t="str">
        <f>výpočty!$R$4</f>
        <v>Classic - wpuszczany do zafrezowania</v>
      </c>
      <c r="D21" s="36" t="str">
        <f>výpočty!$W$6</f>
        <v>Aluminowa plastik (E23)</v>
      </c>
      <c r="E21" t="s">
        <v>2130</v>
      </c>
      <c r="F21">
        <v>0</v>
      </c>
      <c r="G21" t="s">
        <v>2140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x14ac:dyDescent="0.2">
      <c r="A22" s="255" t="str">
        <f>výpočty!$R$14</f>
        <v>Pionowy (z góry na dół)</v>
      </c>
      <c r="B22" s="256" t="str">
        <f>výpočty!$R$9</f>
        <v>Do tyłu</v>
      </c>
      <c r="C22" t="str">
        <f>výpočty!$R$4</f>
        <v>Classic - wpuszczany do zafrezowania</v>
      </c>
      <c r="D22" s="36" t="str">
        <f>výpočty!$W$7</f>
        <v>Buk (E23)</v>
      </c>
      <c r="E22" t="s">
        <v>2130</v>
      </c>
      <c r="F22">
        <v>0</v>
      </c>
      <c r="G22" t="s">
        <v>2140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x14ac:dyDescent="0.2">
      <c r="A23" s="255" t="str">
        <f>výpočty!$R$14</f>
        <v>Pionowy (z góry na dół)</v>
      </c>
      <c r="B23" s="256" t="str">
        <f>výpočty!$R$9</f>
        <v>Do tyłu</v>
      </c>
      <c r="C23" t="str">
        <f>výpočty!$R$4</f>
        <v>Classic - wpuszczany do zafrezowania</v>
      </c>
      <c r="D23" s="36" t="str">
        <f>výpočty!$W$8</f>
        <v>Czereśnia (E23)</v>
      </c>
      <c r="E23" t="s">
        <v>2130</v>
      </c>
      <c r="F23">
        <v>0</v>
      </c>
      <c r="G23" t="s">
        <v>2140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x14ac:dyDescent="0.2">
      <c r="A24" s="255" t="str">
        <f>výpočty!$R$14</f>
        <v>Pionowy (z góry na dół)</v>
      </c>
      <c r="B24" s="256" t="str">
        <f>výpočty!$R$9</f>
        <v>Do tyłu</v>
      </c>
      <c r="C24" t="str">
        <f>výpočty!$R$4</f>
        <v>Classic - wpuszczany do zafrezowania</v>
      </c>
      <c r="D24" s="36" t="str">
        <f>výpočty!$W$9</f>
        <v>Klon (E23)</v>
      </c>
      <c r="E24" t="s">
        <v>2130</v>
      </c>
      <c r="F24">
        <v>0</v>
      </c>
      <c r="G24" t="s">
        <v>2140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x14ac:dyDescent="0.2">
      <c r="A25" s="255" t="str">
        <f>výpočty!$R$14</f>
        <v>Pionowy (z góry na dół)</v>
      </c>
      <c r="B25" s="256" t="str">
        <f>výpočty!$R$9</f>
        <v>Do tyłu</v>
      </c>
      <c r="C25" t="str">
        <f>výpočty!$R$4</f>
        <v>Classic - wpuszczany do zafrezowania</v>
      </c>
      <c r="D25" s="36" t="str">
        <f>výpočty!$W$10</f>
        <v>Brzoza (E23)</v>
      </c>
      <c r="E25" t="s">
        <v>2130</v>
      </c>
      <c r="F25">
        <v>0</v>
      </c>
      <c r="G25" t="s">
        <v>2140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x14ac:dyDescent="0.2">
      <c r="A26" s="255" t="str">
        <f>výpočty!$R$14</f>
        <v>Pionowy (z góry na dół)</v>
      </c>
      <c r="B26" s="256" t="str">
        <f>výpočty!$R$9</f>
        <v>Do tyłu</v>
      </c>
      <c r="C26" t="str">
        <f>výpočty!$R$4</f>
        <v>Classic - wpuszczany do zafrezowania</v>
      </c>
      <c r="D26" s="36" t="str">
        <f>výpočty!$W$11</f>
        <v>Czereśnia havana (E23)</v>
      </c>
      <c r="E26" t="s">
        <v>2130</v>
      </c>
      <c r="F26">
        <v>0</v>
      </c>
      <c r="G26" t="s">
        <v>2140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x14ac:dyDescent="0.2">
      <c r="A27" s="255" t="str">
        <f>výpočty!$R$14</f>
        <v>Pionowy (z góry na dół)</v>
      </c>
      <c r="B27" s="256" t="str">
        <f>výpočty!$R$9</f>
        <v>Do tyłu</v>
      </c>
      <c r="C27" t="str">
        <f>výpočty!$R$4</f>
        <v>Classic - wpuszczany do zafrezowania</v>
      </c>
      <c r="D27" s="36" t="str">
        <f>výpočty!$W$12</f>
        <v>Calvados (E23)</v>
      </c>
      <c r="E27" t="s">
        <v>2130</v>
      </c>
      <c r="F27">
        <v>0</v>
      </c>
      <c r="G27" t="s">
        <v>2140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x14ac:dyDescent="0.2">
      <c r="A28" s="255" t="str">
        <f>výpočty!$R$14</f>
        <v>Pionowy (z góry na dół)</v>
      </c>
      <c r="B28" s="256" t="str">
        <f>výpočty!$R$9</f>
        <v>Do tyłu</v>
      </c>
      <c r="C28" t="str">
        <f>výpočty!$R$4</f>
        <v>Classic - wpuszczany do zafrezowania</v>
      </c>
      <c r="D28" s="350" t="str">
        <f>výpočty!$W$14</f>
        <v>śnieżno biala mat (E9)</v>
      </c>
      <c r="E28" t="s">
        <v>2130</v>
      </c>
      <c r="F28">
        <v>0</v>
      </c>
      <c r="G28" t="s">
        <v>2140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x14ac:dyDescent="0.2">
      <c r="A29" s="255" t="str">
        <f>výpočty!$R$14</f>
        <v>Pionowy (z góry na dół)</v>
      </c>
      <c r="B29" s="256" t="str">
        <f>výpočty!$R$9</f>
        <v>Do tyłu</v>
      </c>
      <c r="C29" t="str">
        <f>výpočty!$R$4</f>
        <v>Classic - wpuszczany do zafrezowania</v>
      </c>
      <c r="D29" s="36" t="str">
        <f>výpočty!$W$15</f>
        <v>Aluminowa plastik (E4)</v>
      </c>
      <c r="E29" s="321" t="s">
        <v>2131</v>
      </c>
      <c r="F29" s="321">
        <v>0</v>
      </c>
      <c r="G29" s="321" t="str">
        <f>Překlady!$A$143</f>
        <v>Kolor aluminium plastik w profilu E4 jest idealny do poziomych rozwiązań w kombinacji z prowadzeniem Classic z systemem nawijania do tyłu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>Kolor aluminium plastik w profilu E4 jest idealny do poziomych rozwiązań w kombinacji z prowadzeniem Classic z systemem nawijania do tyłu</v>
      </c>
      <c r="N29">
        <f t="shared" si="2"/>
        <v>0</v>
      </c>
    </row>
    <row r="30" spans="1:23" x14ac:dyDescent="0.2">
      <c r="A30" s="255" t="str">
        <f>výpočty!$R$14</f>
        <v>Pionowy (z góry na dół)</v>
      </c>
      <c r="B30" s="256" t="str">
        <f>výpočty!$R$9</f>
        <v>Do tyłu</v>
      </c>
      <c r="C30" t="str">
        <f>výpočty!$R$4</f>
        <v>Classic - wpuszczany do zafrezowania</v>
      </c>
      <c r="D30" s="36">
        <f>výpočty!$W$17</f>
        <v>0</v>
      </c>
      <c r="E30" s="321" t="s">
        <v>2130</v>
      </c>
      <c r="F30">
        <v>0</v>
      </c>
      <c r="G30" t="s">
        <v>2140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x14ac:dyDescent="0.2">
      <c r="A31" s="255" t="str">
        <f>výpočty!$R$14</f>
        <v>Pionowy (z góry na dół)</v>
      </c>
      <c r="B31" s="256" t="str">
        <f>výpočty!$R$9</f>
        <v>Do tyłu</v>
      </c>
      <c r="C31" t="str">
        <f>výpočty!$R$4</f>
        <v>Classic - wpuszczany do zafrezowania</v>
      </c>
      <c r="D31" s="36">
        <f>výpočty!$W$18</f>
        <v>0</v>
      </c>
      <c r="E31" s="321" t="s">
        <v>2130</v>
      </c>
      <c r="F31">
        <v>0</v>
      </c>
      <c r="G31" t="s">
        <v>2140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x14ac:dyDescent="0.2">
      <c r="A32" s="255" t="str">
        <f>výpočty!$R$14</f>
        <v>Pionowy (z góry na dół)</v>
      </c>
      <c r="B32" s="256" t="str">
        <f>výpočty!$R$9</f>
        <v>Do tyłu</v>
      </c>
      <c r="C32" t="str">
        <f>výpočty!$R$4</f>
        <v>Classic - wpuszczany do zafrezowania</v>
      </c>
      <c r="D32" s="36" t="str">
        <f>výpočty!$W$19</f>
        <v>Aluminium szerokość 25 mm (metallic-line)</v>
      </c>
      <c r="E32" s="321" t="s">
        <v>2130</v>
      </c>
      <c r="F32">
        <v>0</v>
      </c>
      <c r="G32" t="s">
        <v>2140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3.5" thickBot="1" x14ac:dyDescent="0.25">
      <c r="A33" s="255" t="str">
        <f>výpočty!$R$14</f>
        <v>Pionowy (z góry na dół)</v>
      </c>
      <c r="B33" s="256" t="str">
        <f>výpočty!$R$9</f>
        <v>Do tyłu</v>
      </c>
      <c r="C33" t="str">
        <f>výpočty!$R$4</f>
        <v>Classic - wpuszczany do zafrezowania</v>
      </c>
      <c r="D33" s="27" t="str">
        <f>výpočty!$W$20</f>
        <v>Nierdz. szerokość 25 mm (metallic-line)</v>
      </c>
      <c r="E33" s="321" t="s">
        <v>2130</v>
      </c>
      <c r="F33">
        <v>0</v>
      </c>
      <c r="G33" t="s">
        <v>2140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x14ac:dyDescent="0.2">
      <c r="A34" s="255" t="str">
        <f>výpočty!$R$14</f>
        <v>Pionowy (z góry na dół)</v>
      </c>
      <c r="B34" s="256" t="str">
        <f>výpočty!$R$9</f>
        <v>Do tyłu</v>
      </c>
      <c r="C34" t="str">
        <f>výpočty!$R$5</f>
        <v>Frame - nakładany z listwą maskującą</v>
      </c>
      <c r="D34" s="26" t="str">
        <f>výpočty!$W$3</f>
        <v>Czarny (E23)</v>
      </c>
      <c r="E34" t="s">
        <v>2130</v>
      </c>
      <c r="F34">
        <v>0</v>
      </c>
      <c r="G34" t="s">
        <v>2140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x14ac:dyDescent="0.2">
      <c r="A35" s="255" t="str">
        <f>výpočty!$R$14</f>
        <v>Pionowy (z góry na dół)</v>
      </c>
      <c r="B35" s="256" t="str">
        <f>výpočty!$R$9</f>
        <v>Do tyłu</v>
      </c>
      <c r="C35" t="str">
        <f>výpočty!$R$5</f>
        <v>Frame - nakładany z listwą maskującą</v>
      </c>
      <c r="D35" s="36" t="str">
        <f>výpočty!$W$4</f>
        <v>Biały (E23)</v>
      </c>
      <c r="E35" t="s">
        <v>2130</v>
      </c>
      <c r="F35">
        <v>0</v>
      </c>
      <c r="G35" t="s">
        <v>2140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x14ac:dyDescent="0.2">
      <c r="A36" s="255" t="str">
        <f>výpočty!$R$14</f>
        <v>Pionowy (z góry na dół)</v>
      </c>
      <c r="B36" s="256" t="str">
        <f>výpočty!$R$9</f>
        <v>Do tyłu</v>
      </c>
      <c r="C36" t="str">
        <f>výpočty!$R$5</f>
        <v>Frame - nakładany z listwą maskującą</v>
      </c>
      <c r="D36" s="36" t="str">
        <f>výpočty!$W$5</f>
        <v>Szary (E23)</v>
      </c>
      <c r="E36" t="s">
        <v>2130</v>
      </c>
      <c r="F36">
        <v>0</v>
      </c>
      <c r="G36" t="s">
        <v>2140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x14ac:dyDescent="0.2">
      <c r="A37" s="255" t="str">
        <f>výpočty!$R$14</f>
        <v>Pionowy (z góry na dół)</v>
      </c>
      <c r="B37" s="256" t="str">
        <f>výpočty!$R$9</f>
        <v>Do tyłu</v>
      </c>
      <c r="C37" t="str">
        <f>výpočty!$R$5</f>
        <v>Frame - nakładany z listwą maskującą</v>
      </c>
      <c r="D37" s="36" t="str">
        <f>výpočty!$W$6</f>
        <v>Aluminowa plastik (E23)</v>
      </c>
      <c r="E37" t="s">
        <v>2130</v>
      </c>
      <c r="F37">
        <v>0</v>
      </c>
      <c r="G37" t="s">
        <v>2140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x14ac:dyDescent="0.2">
      <c r="A38" s="255" t="str">
        <f>výpočty!$R$14</f>
        <v>Pionowy (z góry na dół)</v>
      </c>
      <c r="B38" s="256" t="str">
        <f>výpočty!$R$9</f>
        <v>Do tyłu</v>
      </c>
      <c r="C38" t="str">
        <f>výpočty!$R$5</f>
        <v>Frame - nakładany z listwą maskującą</v>
      </c>
      <c r="D38" s="36" t="str">
        <f>výpočty!$W$7</f>
        <v>Buk (E23)</v>
      </c>
      <c r="E38" t="s">
        <v>2131</v>
      </c>
      <c r="F38">
        <v>1</v>
      </c>
      <c r="G38" s="321" t="str">
        <f>Překlady!$A$145</f>
        <v>Koloru BUK w profilu E23 nie da się łączyć z prowadzeniem FRAME.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Koloru BUK w profilu E23 nie da się łączyć z prowadzeniem FRAME.</v>
      </c>
      <c r="N38">
        <f t="shared" si="2"/>
        <v>1</v>
      </c>
    </row>
    <row r="39" spans="1:14" x14ac:dyDescent="0.2">
      <c r="A39" s="255" t="str">
        <f>výpočty!$R$14</f>
        <v>Pionowy (z góry na dół)</v>
      </c>
      <c r="B39" s="256" t="str">
        <f>výpočty!$R$9</f>
        <v>Do tyłu</v>
      </c>
      <c r="C39" t="str">
        <f>výpočty!$R$5</f>
        <v>Frame - nakładany z listwą maskującą</v>
      </c>
      <c r="D39" s="36" t="str">
        <f>výpočty!$W$8</f>
        <v>Czereśnia (E23)</v>
      </c>
      <c r="E39" t="s">
        <v>2130</v>
      </c>
      <c r="F39">
        <v>1</v>
      </c>
      <c r="G39" t="str">
        <f>Překlady!$A$176</f>
        <v>Koloru Czereśnia w profilu E23 nie da się łączyć z prowadzeniem FRAME.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Koloru Czereśnia w profilu E23 nie da się łączyć z prowadzeniem FRAME.</v>
      </c>
      <c r="N39">
        <f t="shared" si="2"/>
        <v>1</v>
      </c>
    </row>
    <row r="40" spans="1:14" x14ac:dyDescent="0.2">
      <c r="A40" s="255" t="str">
        <f>výpočty!$R$14</f>
        <v>Pionowy (z góry na dół)</v>
      </c>
      <c r="B40" s="256" t="str">
        <f>výpočty!$R$9</f>
        <v>Do tyłu</v>
      </c>
      <c r="C40" t="str">
        <f>výpočty!$R$5</f>
        <v>Frame - nakładany z listwą maskującą</v>
      </c>
      <c r="D40" s="36" t="str">
        <f>výpočty!$W$9</f>
        <v>Klon (E23)</v>
      </c>
      <c r="E40" t="s">
        <v>2130</v>
      </c>
      <c r="F40">
        <v>1</v>
      </c>
      <c r="G40" t="str">
        <f>Překlady!$A$177</f>
        <v>Koloru Klon w profilu E23 nie da się łączyć z prowadzeniem FRAME.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Koloru Klon w profilu E23 nie da się łączyć z prowadzeniem FRAME.</v>
      </c>
      <c r="N40">
        <f t="shared" si="2"/>
        <v>1</v>
      </c>
    </row>
    <row r="41" spans="1:14" x14ac:dyDescent="0.2">
      <c r="A41" s="255" t="str">
        <f>výpočty!$R$14</f>
        <v>Pionowy (z góry na dół)</v>
      </c>
      <c r="B41" s="256" t="str">
        <f>výpočty!$R$9</f>
        <v>Do tyłu</v>
      </c>
      <c r="C41" t="str">
        <f>výpočty!$R$5</f>
        <v>Frame - nakładany z listwą maskującą</v>
      </c>
      <c r="D41" s="36" t="str">
        <f>výpočty!$W$10</f>
        <v>Brzoza (E23)</v>
      </c>
      <c r="E41" t="s">
        <v>2130</v>
      </c>
      <c r="F41">
        <v>1</v>
      </c>
      <c r="G41" t="str">
        <f>Překlady!$A$175</f>
        <v>Koloru Brzoza w profilu E23 nie da się łączyć z prowadzeniem FRAME.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Koloru Brzoza w profilu E23 nie da się łączyć z prowadzeniem FRAME.</v>
      </c>
      <c r="N41">
        <f t="shared" si="2"/>
        <v>1</v>
      </c>
    </row>
    <row r="42" spans="1:14" x14ac:dyDescent="0.2">
      <c r="A42" s="255" t="str">
        <f>výpočty!$R$14</f>
        <v>Pionowy (z góry na dół)</v>
      </c>
      <c r="B42" s="256" t="str">
        <f>výpočty!$R$9</f>
        <v>Do tyłu</v>
      </c>
      <c r="C42" t="str">
        <f>výpočty!$R$5</f>
        <v>Frame - nakładany z listwą maskującą</v>
      </c>
      <c r="D42" s="36" t="str">
        <f>výpočty!$W$11</f>
        <v>Czereśnia havana (E23)</v>
      </c>
      <c r="E42" t="s">
        <v>2131</v>
      </c>
      <c r="F42">
        <v>1</v>
      </c>
      <c r="G42" t="str">
        <f>Překlady!$A$170</f>
        <v>Koloru Czereśnia havana w profilu E23 nie da się łączyć z prowadzeniem FRAME.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Koloru Czereśnia havana w profilu E23 nie da się łączyć z prowadzeniem FRAME.</v>
      </c>
      <c r="N42">
        <f t="shared" si="2"/>
        <v>1</v>
      </c>
    </row>
    <row r="43" spans="1:14" x14ac:dyDescent="0.2">
      <c r="A43" s="255" t="str">
        <f>výpočty!$R$14</f>
        <v>Pionowy (z góry na dół)</v>
      </c>
      <c r="B43" s="256" t="str">
        <f>výpočty!$R$9</f>
        <v>Do tyłu</v>
      </c>
      <c r="C43" t="str">
        <f>výpočty!$R$5</f>
        <v>Frame - nakładany z listwą maskującą</v>
      </c>
      <c r="D43" s="36" t="str">
        <f>výpočty!$W$12</f>
        <v>Calvados (E23)</v>
      </c>
      <c r="E43" s="321" t="s">
        <v>2131</v>
      </c>
      <c r="F43">
        <v>1</v>
      </c>
      <c r="G43" t="str">
        <f>Překlady!$A$169</f>
        <v>Koloru CALVADOS w profilu E23 nie da się łączyć z prowadzeniem FRAME.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Koloru CALVADOS w profilu E23 nie da się łączyć z prowadzeniem FRAME.</v>
      </c>
      <c r="N43">
        <f t="shared" si="2"/>
        <v>1</v>
      </c>
    </row>
    <row r="44" spans="1:14" x14ac:dyDescent="0.2">
      <c r="A44" s="255" t="str">
        <f>výpočty!$R$14</f>
        <v>Pionowy (z góry na dół)</v>
      </c>
      <c r="B44" s="256" t="str">
        <f>výpočty!$R$9</f>
        <v>Do tyłu</v>
      </c>
      <c r="C44" t="str">
        <f>výpočty!$R$5</f>
        <v>Frame - nakładany z listwą maskującą</v>
      </c>
      <c r="D44" s="36" t="str">
        <f>výpočty!$W$14</f>
        <v>śnieżno biala mat (E9)</v>
      </c>
      <c r="E44" s="321" t="s">
        <v>2131</v>
      </c>
      <c r="F44" s="321">
        <v>1</v>
      </c>
      <c r="G44" s="321" t="str">
        <f>Překlady!$A$142</f>
        <v>Kolor śnieżno biały w profilu E9 można łączyć jedynie z prowadzeniem Classic i systemem nawijania do tyłu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Kolor śnieżno biały w profilu E9 można łączyć jedynie z prowadzeniem Classic i systemem nawijania do tyłu</v>
      </c>
      <c r="N44">
        <f t="shared" si="2"/>
        <v>1</v>
      </c>
    </row>
    <row r="45" spans="1:14" x14ac:dyDescent="0.2">
      <c r="A45" s="255" t="str">
        <f>výpočty!$R$14</f>
        <v>Pionowy (z góry na dół)</v>
      </c>
      <c r="B45" s="256" t="str">
        <f>výpočty!$R$9</f>
        <v>Do tyłu</v>
      </c>
      <c r="C45" t="str">
        <f>výpočty!$R$5</f>
        <v>Frame - nakładany z listwą maskującą</v>
      </c>
      <c r="D45" s="36" t="str">
        <f>výpočty!$W$15</f>
        <v>Aluminowa plastik (E4)</v>
      </c>
      <c r="E45" t="s">
        <v>2131</v>
      </c>
      <c r="F45">
        <v>1</v>
      </c>
      <c r="G45" s="321" t="str">
        <f>Překlady!$A$143</f>
        <v>Kolor aluminium plastik w profilu E4 jest idealny do poziomych rozwiązań w kombinacji z prowadzeniem Classic z systemem nawijania do tyłu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>Kolor aluminium plastik w profilu E4 jest idealny do poziomych rozwiązań w kombinacji z prowadzeniem Classic z systemem nawijania do tyłu</v>
      </c>
      <c r="N45">
        <f t="shared" si="2"/>
        <v>1</v>
      </c>
    </row>
    <row r="46" spans="1:14" x14ac:dyDescent="0.2">
      <c r="A46" s="255" t="str">
        <f>výpočty!$R$14</f>
        <v>Pionowy (z góry na dół)</v>
      </c>
      <c r="B46" s="256" t="str">
        <f>výpočty!$R$9</f>
        <v>Do tyłu</v>
      </c>
      <c r="C46" t="str">
        <f>výpočty!$R$5</f>
        <v>Frame - nakładany z listwą maskującą</v>
      </c>
      <c r="D46" s="36">
        <f>výpočty!$W$17</f>
        <v>0</v>
      </c>
      <c r="E46" t="s">
        <v>2130</v>
      </c>
      <c r="F46">
        <v>0</v>
      </c>
      <c r="G46" t="s">
        <v>2140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x14ac:dyDescent="0.2">
      <c r="A47" s="255" t="str">
        <f>výpočty!$R$14</f>
        <v>Pionowy (z góry na dół)</v>
      </c>
      <c r="B47" s="256" t="str">
        <f>výpočty!$R$9</f>
        <v>Do tyłu</v>
      </c>
      <c r="C47" t="str">
        <f>výpočty!$R$5</f>
        <v>Frame - nakładany z listwą maskującą</v>
      </c>
      <c r="D47" s="36">
        <f>výpočty!$W$18</f>
        <v>0</v>
      </c>
      <c r="E47" t="s">
        <v>2130</v>
      </c>
      <c r="F47">
        <v>0</v>
      </c>
      <c r="G47" t="s">
        <v>2140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x14ac:dyDescent="0.2">
      <c r="A48" s="255" t="str">
        <f>výpočty!$R$14</f>
        <v>Pionowy (z góry na dół)</v>
      </c>
      <c r="B48" s="256" t="str">
        <f>výpočty!$R$9</f>
        <v>Do tyłu</v>
      </c>
      <c r="C48" t="str">
        <f>výpočty!$R$5</f>
        <v>Frame - nakładany z listwą maskującą</v>
      </c>
      <c r="D48" s="36" t="str">
        <f>výpočty!$W$19</f>
        <v>Aluminium szerokość 25 mm (metallic-line)</v>
      </c>
      <c r="E48" t="s">
        <v>2130</v>
      </c>
      <c r="F48">
        <v>0</v>
      </c>
      <c r="G48" t="s">
        <v>2140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3.5" thickBot="1" x14ac:dyDescent="0.25">
      <c r="A49" s="255" t="str">
        <f>výpočty!$R$14</f>
        <v>Pionowy (z góry na dół)</v>
      </c>
      <c r="B49" s="256" t="str">
        <f>výpočty!$R$9</f>
        <v>Do tyłu</v>
      </c>
      <c r="C49" t="str">
        <f>výpočty!$R$5</f>
        <v>Frame - nakładany z listwą maskującą</v>
      </c>
      <c r="D49" s="27" t="str">
        <f>výpočty!$W$20</f>
        <v>Nierdz. szerokość 25 mm (metallic-line)</v>
      </c>
      <c r="E49" t="s">
        <v>2130</v>
      </c>
      <c r="F49">
        <v>0</v>
      </c>
      <c r="G49" t="s">
        <v>2140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x14ac:dyDescent="0.2">
      <c r="A50" s="255" t="str">
        <f>výpočty!$R$14</f>
        <v>Pionowy (z góry na dół)</v>
      </c>
      <c r="B50" s="256" t="str">
        <f>výpočty!$R$9</f>
        <v>Do tyłu</v>
      </c>
      <c r="C50" t="str">
        <f>výpočty!$R$6</f>
        <v>TOP - wpuszczany do przykręcenia metalowy z listwą maskującą</v>
      </c>
      <c r="D50" s="26" t="str">
        <f>výpočty!$W$3</f>
        <v>Czarny (E23)</v>
      </c>
      <c r="E50" t="s">
        <v>2130</v>
      </c>
      <c r="F50">
        <v>0</v>
      </c>
      <c r="G50" t="s">
        <v>2140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x14ac:dyDescent="0.2">
      <c r="A51" s="255" t="str">
        <f>výpočty!$R$14</f>
        <v>Pionowy (z góry na dół)</v>
      </c>
      <c r="B51" s="256" t="str">
        <f>výpočty!$R$9</f>
        <v>Do tyłu</v>
      </c>
      <c r="C51" t="str">
        <f>výpočty!$R$6</f>
        <v>TOP - wpuszczany do przykręcenia metalowy z listwą maskującą</v>
      </c>
      <c r="D51" s="36" t="str">
        <f>výpočty!$W$4</f>
        <v>Biały (E23)</v>
      </c>
      <c r="E51" t="s">
        <v>2130</v>
      </c>
      <c r="F51">
        <v>0</v>
      </c>
      <c r="G51" t="s">
        <v>2140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x14ac:dyDescent="0.2">
      <c r="A52" s="255" t="str">
        <f>výpočty!$R$14</f>
        <v>Pionowy (z góry na dół)</v>
      </c>
      <c r="B52" s="256" t="str">
        <f>výpočty!$R$9</f>
        <v>Do tyłu</v>
      </c>
      <c r="C52" t="str">
        <f>výpočty!$R$6</f>
        <v>TOP - wpuszczany do przykręcenia metalowy z listwą maskującą</v>
      </c>
      <c r="D52" s="36" t="str">
        <f>výpočty!$W$5</f>
        <v>Szary (E23)</v>
      </c>
      <c r="E52" t="s">
        <v>2130</v>
      </c>
      <c r="F52">
        <v>0</v>
      </c>
      <c r="G52" t="s">
        <v>2140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x14ac:dyDescent="0.2">
      <c r="A53" s="255" t="str">
        <f>výpočty!$R$14</f>
        <v>Pionowy (z góry na dół)</v>
      </c>
      <c r="B53" s="256" t="str">
        <f>výpočty!$R$9</f>
        <v>Do tyłu</v>
      </c>
      <c r="C53" t="str">
        <f>výpočty!$R$6</f>
        <v>TOP - wpuszczany do przykręcenia metalowy z listwą maskującą</v>
      </c>
      <c r="D53" s="36" t="str">
        <f>výpočty!$W$6</f>
        <v>Aluminowa plastik (E23)</v>
      </c>
      <c r="E53" t="s">
        <v>2130</v>
      </c>
      <c r="F53">
        <v>0</v>
      </c>
      <c r="G53" t="s">
        <v>2140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x14ac:dyDescent="0.2">
      <c r="A54" s="255" t="str">
        <f>výpočty!$R$14</f>
        <v>Pionowy (z góry na dół)</v>
      </c>
      <c r="B54" s="256" t="str">
        <f>výpočty!$R$9</f>
        <v>Do tyłu</v>
      </c>
      <c r="C54" t="str">
        <f>výpočty!$R$6</f>
        <v>TOP - wpuszczany do przykręcenia metalowy z listwą maskującą</v>
      </c>
      <c r="D54" s="36" t="str">
        <f>výpočty!$W$7</f>
        <v>Buk (E23)</v>
      </c>
      <c r="E54" t="s">
        <v>2130</v>
      </c>
      <c r="F54">
        <v>0</v>
      </c>
      <c r="G54" t="s">
        <v>2140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x14ac:dyDescent="0.2">
      <c r="A55" s="255" t="str">
        <f>výpočty!$R$14</f>
        <v>Pionowy (z góry na dół)</v>
      </c>
      <c r="B55" s="256" t="str">
        <f>výpočty!$R$9</f>
        <v>Do tyłu</v>
      </c>
      <c r="C55" t="str">
        <f>výpočty!$R$6</f>
        <v>TOP - wpuszczany do przykręcenia metalowy z listwą maskującą</v>
      </c>
      <c r="D55" s="36" t="str">
        <f>výpočty!$W$8</f>
        <v>Czereśnia (E23)</v>
      </c>
      <c r="E55" t="s">
        <v>2130</v>
      </c>
      <c r="F55">
        <v>0</v>
      </c>
      <c r="G55" t="s">
        <v>2140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x14ac:dyDescent="0.2">
      <c r="A56" s="255" t="str">
        <f>výpočty!$R$14</f>
        <v>Pionowy (z góry na dół)</v>
      </c>
      <c r="B56" s="256" t="str">
        <f>výpočty!$R$9</f>
        <v>Do tyłu</v>
      </c>
      <c r="C56" t="str">
        <f>výpočty!$R$6</f>
        <v>TOP - wpuszczany do przykręcenia metalowy z listwą maskującą</v>
      </c>
      <c r="D56" s="36" t="str">
        <f>výpočty!$W$9</f>
        <v>Klon (E23)</v>
      </c>
      <c r="E56" t="s">
        <v>2130</v>
      </c>
      <c r="F56">
        <v>0</v>
      </c>
      <c r="G56" t="s">
        <v>2140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x14ac:dyDescent="0.2">
      <c r="A57" s="255" t="str">
        <f>výpočty!$R$14</f>
        <v>Pionowy (z góry na dół)</v>
      </c>
      <c r="B57" s="256" t="str">
        <f>výpočty!$R$9</f>
        <v>Do tyłu</v>
      </c>
      <c r="C57" t="str">
        <f>výpočty!$R$6</f>
        <v>TOP - wpuszczany do przykręcenia metalowy z listwą maskującą</v>
      </c>
      <c r="D57" s="36" t="str">
        <f>výpočty!$W$10</f>
        <v>Brzoza (E23)</v>
      </c>
      <c r="E57" t="s">
        <v>2130</v>
      </c>
      <c r="F57">
        <v>0</v>
      </c>
      <c r="G57" t="s">
        <v>2140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x14ac:dyDescent="0.2">
      <c r="A58" s="255" t="str">
        <f>výpočty!$R$14</f>
        <v>Pionowy (z góry na dół)</v>
      </c>
      <c r="B58" s="256" t="str">
        <f>výpočty!$R$9</f>
        <v>Do tyłu</v>
      </c>
      <c r="C58" t="str">
        <f>výpočty!$R$6</f>
        <v>TOP - wpuszczany do przykręcenia metalowy z listwą maskującą</v>
      </c>
      <c r="D58" s="36" t="str">
        <f>výpočty!$W$11</f>
        <v>Czereśnia havana (E23)</v>
      </c>
      <c r="E58" t="s">
        <v>2130</v>
      </c>
      <c r="F58">
        <v>0</v>
      </c>
      <c r="G58" t="s">
        <v>2140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x14ac:dyDescent="0.2">
      <c r="A59" s="255" t="str">
        <f>výpočty!$R$14</f>
        <v>Pionowy (z góry na dół)</v>
      </c>
      <c r="B59" s="256" t="str">
        <f>výpočty!$R$9</f>
        <v>Do tyłu</v>
      </c>
      <c r="C59" t="str">
        <f>výpočty!$R$6</f>
        <v>TOP - wpuszczany do przykręcenia metalowy z listwą maskującą</v>
      </c>
      <c r="D59" s="36" t="str">
        <f>výpočty!$W$12</f>
        <v>Calvados (E23)</v>
      </c>
      <c r="E59" t="s">
        <v>2130</v>
      </c>
      <c r="F59">
        <v>0</v>
      </c>
      <c r="G59" t="s">
        <v>2140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x14ac:dyDescent="0.2">
      <c r="A60" s="255" t="str">
        <f>výpočty!$R$14</f>
        <v>Pionowy (z góry na dół)</v>
      </c>
      <c r="B60" s="256" t="str">
        <f>výpočty!$R$9</f>
        <v>Do tyłu</v>
      </c>
      <c r="C60" t="str">
        <f>výpočty!$R$6</f>
        <v>TOP - wpuszczany do przykręcenia metalowy z listwą maskującą</v>
      </c>
      <c r="D60" s="350" t="str">
        <f>výpočty!$W$14</f>
        <v>śnieżno biala mat (E9)</v>
      </c>
      <c r="E60" t="s">
        <v>2130</v>
      </c>
      <c r="F60">
        <v>0</v>
      </c>
      <c r="G60" t="s">
        <v>2140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x14ac:dyDescent="0.2">
      <c r="A61" s="255" t="str">
        <f>výpočty!$R$14</f>
        <v>Pionowy (z góry na dół)</v>
      </c>
      <c r="B61" s="256" t="str">
        <f>výpočty!$R$9</f>
        <v>Do tyłu</v>
      </c>
      <c r="C61" t="str">
        <f>výpočty!$R$6</f>
        <v>TOP - wpuszczany do przykręcenia metalowy z listwą maskującą</v>
      </c>
      <c r="D61" s="36" t="str">
        <f>výpočty!$W$15</f>
        <v>Aluminowa plastik (E4)</v>
      </c>
      <c r="E61" t="s">
        <v>2131</v>
      </c>
      <c r="F61">
        <v>1</v>
      </c>
      <c r="G61" s="321" t="str">
        <f>Překlady!$A$143</f>
        <v>Kolor aluminium plastik w profilu E4 jest idealny do poziomych rozwiązań w kombinacji z prowadzeniem Classic z systemem nawijania do tyłu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>Kolor aluminium plastik w profilu E4 jest idealny do poziomych rozwiązań w kombinacji z prowadzeniem Classic z systemem nawijania do tyłu</v>
      </c>
      <c r="N61">
        <f t="shared" si="2"/>
        <v>1</v>
      </c>
    </row>
    <row r="62" spans="1:14" x14ac:dyDescent="0.2">
      <c r="A62" s="255" t="str">
        <f>výpočty!$R$14</f>
        <v>Pionowy (z góry na dół)</v>
      </c>
      <c r="B62" s="256" t="str">
        <f>výpočty!$R$9</f>
        <v>Do tyłu</v>
      </c>
      <c r="C62" t="str">
        <f>výpočty!$R$6</f>
        <v>TOP - wpuszczany do przykręcenia metalowy z listwą maskującą</v>
      </c>
      <c r="D62" s="36">
        <f>výpočty!$W$17</f>
        <v>0</v>
      </c>
      <c r="E62" t="s">
        <v>2130</v>
      </c>
      <c r="F62">
        <v>0</v>
      </c>
      <c r="G62" t="s">
        <v>2140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x14ac:dyDescent="0.2">
      <c r="A63" s="255" t="str">
        <f>výpočty!$R$14</f>
        <v>Pionowy (z góry na dół)</v>
      </c>
      <c r="B63" s="256" t="str">
        <f>výpočty!$R$9</f>
        <v>Do tyłu</v>
      </c>
      <c r="C63" t="str">
        <f>výpočty!$R$6</f>
        <v>TOP - wpuszczany do przykręcenia metalowy z listwą maskującą</v>
      </c>
      <c r="D63" s="36">
        <f>výpočty!$W$18</f>
        <v>0</v>
      </c>
      <c r="E63" t="s">
        <v>2130</v>
      </c>
      <c r="F63">
        <v>0</v>
      </c>
      <c r="G63" t="s">
        <v>2140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x14ac:dyDescent="0.2">
      <c r="A64" s="255" t="str">
        <f>výpočty!$R$14</f>
        <v>Pionowy (z góry na dół)</v>
      </c>
      <c r="B64" s="256" t="str">
        <f>výpočty!$R$9</f>
        <v>Do tyłu</v>
      </c>
      <c r="C64" t="str">
        <f>výpočty!$R$6</f>
        <v>TOP - wpuszczany do przykręcenia metalowy z listwą maskującą</v>
      </c>
      <c r="D64" s="36" t="str">
        <f>výpočty!$W$19</f>
        <v>Aluminium szerokość 25 mm (metallic-line)</v>
      </c>
      <c r="E64" t="s">
        <v>2130</v>
      </c>
      <c r="F64">
        <v>0</v>
      </c>
      <c r="G64" t="s">
        <v>2140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3.5" thickBot="1" x14ac:dyDescent="0.25">
      <c r="A65" s="255" t="str">
        <f>výpočty!$R$14</f>
        <v>Pionowy (z góry na dół)</v>
      </c>
      <c r="B65" s="256" t="str">
        <f>výpočty!$R$9</f>
        <v>Do tyłu</v>
      </c>
      <c r="C65" t="str">
        <f>výpočty!$R$6</f>
        <v>TOP - wpuszczany do przykręcenia metalowy z listwą maskującą</v>
      </c>
      <c r="D65" s="27" t="str">
        <f>výpočty!$W$20</f>
        <v>Nierdz. szerokość 25 mm (metallic-line)</v>
      </c>
      <c r="E65" t="s">
        <v>2130</v>
      </c>
      <c r="F65">
        <v>0</v>
      </c>
      <c r="G65" t="s">
        <v>2140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x14ac:dyDescent="0.2">
      <c r="A66" s="255" t="str">
        <f>výpočty!$R$14</f>
        <v>Pionowy (z góry na dół)</v>
      </c>
      <c r="B66" s="256" t="str">
        <f>výpočty!$R$9</f>
        <v>Do tyłu</v>
      </c>
      <c r="C66" t="str">
        <f>výpočty!$R$7</f>
        <v>Nakładany z prowadzeniem metalic-line 29 mm i mechanimem C3</v>
      </c>
      <c r="D66" s="26" t="str">
        <f>výpočty!$W$3</f>
        <v>Czarny (E23)</v>
      </c>
      <c r="E66" t="s">
        <v>2131</v>
      </c>
      <c r="F66">
        <v>1</v>
      </c>
      <c r="G66" s="321" t="str">
        <f>Překlady!$A$146</f>
        <v>Nakładany system prowadzenia z metalic-line 29 mm i mechanizmem C3 można łączyć jedynie z systemem nawijania przez mechanike C3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>Nakładany system prowadzenia z metalic-line 29 mm i mechanizmem C3 można łączyć jedynie z systemem nawijania przez mechanike C3</v>
      </c>
      <c r="N66">
        <f t="shared" si="2"/>
        <v>1</v>
      </c>
    </row>
    <row r="67" spans="1:14" x14ac:dyDescent="0.2">
      <c r="A67" s="255" t="str">
        <f>výpočty!$R$14</f>
        <v>Pionowy (z góry na dół)</v>
      </c>
      <c r="B67" s="256" t="str">
        <f>výpočty!$R$9</f>
        <v>Do tyłu</v>
      </c>
      <c r="C67" t="str">
        <f>výpočty!$R$7</f>
        <v>Nakładany z prowadzeniem metalic-line 29 mm i mechanimem C3</v>
      </c>
      <c r="D67" s="36" t="str">
        <f>výpočty!$W$4</f>
        <v>Biały (E23)</v>
      </c>
      <c r="E67" t="s">
        <v>2131</v>
      </c>
      <c r="F67">
        <v>1</v>
      </c>
      <c r="G67" s="321" t="str">
        <f>Překlady!$A$146</f>
        <v>Nakładany system prowadzenia z metalic-line 29 mm i mechanizmem C3 można łączyć jedynie z systemem nawijania przez mechanike C3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>Nakładany system prowadzenia z metalic-line 29 mm i mechanizmem C3 można łączyć jedynie z systemem nawijania przez mechanike C3</v>
      </c>
      <c r="N67">
        <f t="shared" ref="N67:N130" si="5">F:F</f>
        <v>1</v>
      </c>
    </row>
    <row r="68" spans="1:14" x14ac:dyDescent="0.2">
      <c r="A68" s="255" t="str">
        <f>výpočty!$R$14</f>
        <v>Pionowy (z góry na dół)</v>
      </c>
      <c r="B68" s="256" t="str">
        <f>výpočty!$R$9</f>
        <v>Do tyłu</v>
      </c>
      <c r="C68" t="str">
        <f>výpočty!$R$7</f>
        <v>Nakładany z prowadzeniem metalic-line 29 mm i mechanimem C3</v>
      </c>
      <c r="D68" s="36" t="str">
        <f>výpočty!$W$5</f>
        <v>Szary (E23)</v>
      </c>
      <c r="E68" t="s">
        <v>2131</v>
      </c>
      <c r="F68">
        <v>1</v>
      </c>
      <c r="G68" s="321" t="str">
        <f>Překlady!$A$146</f>
        <v>Nakładany system prowadzenia z metalic-line 29 mm i mechanizmem C3 można łączyć jedynie z systemem nawijania przez mechanike C3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>Nakładany system prowadzenia z metalic-line 29 mm i mechanizmem C3 można łączyć jedynie z systemem nawijania przez mechanike C3</v>
      </c>
      <c r="N68">
        <f t="shared" si="5"/>
        <v>1</v>
      </c>
    </row>
    <row r="69" spans="1:14" x14ac:dyDescent="0.2">
      <c r="A69" s="255" t="str">
        <f>výpočty!$R$14</f>
        <v>Pionowy (z góry na dół)</v>
      </c>
      <c r="B69" s="256" t="str">
        <f>výpočty!$R$9</f>
        <v>Do tyłu</v>
      </c>
      <c r="C69" t="str">
        <f>výpočty!$R$7</f>
        <v>Nakładany z prowadzeniem metalic-line 29 mm i mechanimem C3</v>
      </c>
      <c r="D69" s="36" t="str">
        <f>výpočty!$W$6</f>
        <v>Aluminowa plastik (E23)</v>
      </c>
      <c r="E69" t="s">
        <v>2131</v>
      </c>
      <c r="F69">
        <v>1</v>
      </c>
      <c r="G69" s="321" t="str">
        <f>Překlady!$A$146</f>
        <v>Nakładany system prowadzenia z metalic-line 29 mm i mechanizmem C3 można łączyć jedynie z systemem nawijania przez mechanike C3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>Nakładany system prowadzenia z metalic-line 29 mm i mechanizmem C3 można łączyć jedynie z systemem nawijania przez mechanike C3</v>
      </c>
      <c r="N69">
        <f t="shared" si="5"/>
        <v>1</v>
      </c>
    </row>
    <row r="70" spans="1:14" x14ac:dyDescent="0.2">
      <c r="A70" s="255" t="str">
        <f>výpočty!$R$14</f>
        <v>Pionowy (z góry na dół)</v>
      </c>
      <c r="B70" s="256" t="str">
        <f>výpočty!$R$9</f>
        <v>Do tyłu</v>
      </c>
      <c r="C70" t="str">
        <f>výpočty!$R$7</f>
        <v>Nakładany z prowadzeniem metalic-line 29 mm i mechanimem C3</v>
      </c>
      <c r="D70" s="36" t="str">
        <f>výpočty!$W$7</f>
        <v>Buk (E23)</v>
      </c>
      <c r="E70" t="s">
        <v>2131</v>
      </c>
      <c r="F70">
        <v>1</v>
      </c>
      <c r="G70" s="321" t="str">
        <f>Překlady!$A$146</f>
        <v>Nakładany system prowadzenia z metalic-line 29 mm i mechanizmem C3 można łączyć jedynie z systemem nawijania przez mechanike C3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>Nakładany system prowadzenia z metalic-line 29 mm i mechanizmem C3 można łączyć jedynie z systemem nawijania przez mechanike C3</v>
      </c>
      <c r="N70">
        <f t="shared" si="5"/>
        <v>1</v>
      </c>
    </row>
    <row r="71" spans="1:14" x14ac:dyDescent="0.2">
      <c r="A71" s="255" t="str">
        <f>výpočty!$R$14</f>
        <v>Pionowy (z góry na dół)</v>
      </c>
      <c r="B71" s="256" t="str">
        <f>výpočty!$R$9</f>
        <v>Do tyłu</v>
      </c>
      <c r="C71" t="str">
        <f>výpočty!$R$7</f>
        <v>Nakładany z prowadzeniem metalic-line 29 mm i mechanimem C3</v>
      </c>
      <c r="D71" s="36" t="str">
        <f>výpočty!$W$8</f>
        <v>Czereśnia (E23)</v>
      </c>
      <c r="E71" t="s">
        <v>2131</v>
      </c>
      <c r="F71">
        <v>1</v>
      </c>
      <c r="G71" s="321" t="str">
        <f>Překlady!$A$146</f>
        <v>Nakładany system prowadzenia z metalic-line 29 mm i mechanizmem C3 można łączyć jedynie z systemem nawijania przez mechanike C3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>Nakładany system prowadzenia z metalic-line 29 mm i mechanizmem C3 można łączyć jedynie z systemem nawijania przez mechanike C3</v>
      </c>
      <c r="N71">
        <f t="shared" si="5"/>
        <v>1</v>
      </c>
    </row>
    <row r="72" spans="1:14" x14ac:dyDescent="0.2">
      <c r="A72" s="255" t="str">
        <f>výpočty!$R$14</f>
        <v>Pionowy (z góry na dół)</v>
      </c>
      <c r="B72" s="256" t="str">
        <f>výpočty!$R$9</f>
        <v>Do tyłu</v>
      </c>
      <c r="C72" t="str">
        <f>výpočty!$R$7</f>
        <v>Nakładany z prowadzeniem metalic-line 29 mm i mechanimem C3</v>
      </c>
      <c r="D72" s="36" t="str">
        <f>výpočty!$W$9</f>
        <v>Klon (E23)</v>
      </c>
      <c r="E72" t="s">
        <v>2131</v>
      </c>
      <c r="F72">
        <v>1</v>
      </c>
      <c r="G72" s="321" t="str">
        <f>Překlady!$A$146</f>
        <v>Nakładany system prowadzenia z metalic-line 29 mm i mechanizmem C3 można łączyć jedynie z systemem nawijania przez mechanike C3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>Nakładany system prowadzenia z metalic-line 29 mm i mechanizmem C3 można łączyć jedynie z systemem nawijania przez mechanike C3</v>
      </c>
      <c r="N72">
        <f t="shared" si="5"/>
        <v>1</v>
      </c>
    </row>
    <row r="73" spans="1:14" x14ac:dyDescent="0.2">
      <c r="A73" s="255" t="str">
        <f>výpočty!$R$14</f>
        <v>Pionowy (z góry na dół)</v>
      </c>
      <c r="B73" s="256" t="str">
        <f>výpočty!$R$9</f>
        <v>Do tyłu</v>
      </c>
      <c r="C73" t="str">
        <f>výpočty!$R$7</f>
        <v>Nakładany z prowadzeniem metalic-line 29 mm i mechanimem C3</v>
      </c>
      <c r="D73" s="36" t="str">
        <f>výpočty!$W$10</f>
        <v>Brzoza (E23)</v>
      </c>
      <c r="E73" t="s">
        <v>2131</v>
      </c>
      <c r="F73">
        <v>1</v>
      </c>
      <c r="G73" s="321" t="str">
        <f>Překlady!$A$146</f>
        <v>Nakładany system prowadzenia z metalic-line 29 mm i mechanizmem C3 można łączyć jedynie z systemem nawijania przez mechanike C3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>Nakładany system prowadzenia z metalic-line 29 mm i mechanizmem C3 można łączyć jedynie z systemem nawijania przez mechanike C3</v>
      </c>
      <c r="N73">
        <f t="shared" si="5"/>
        <v>1</v>
      </c>
    </row>
    <row r="74" spans="1:14" x14ac:dyDescent="0.2">
      <c r="A74" s="255" t="str">
        <f>výpočty!$R$14</f>
        <v>Pionowy (z góry na dół)</v>
      </c>
      <c r="B74" s="256" t="str">
        <f>výpočty!$R$9</f>
        <v>Do tyłu</v>
      </c>
      <c r="C74" t="str">
        <f>výpočty!$R$7</f>
        <v>Nakładany z prowadzeniem metalic-line 29 mm i mechanimem C3</v>
      </c>
      <c r="D74" s="36" t="str">
        <f>výpočty!$W$11</f>
        <v>Czereśnia havana (E23)</v>
      </c>
      <c r="E74" t="s">
        <v>2131</v>
      </c>
      <c r="F74">
        <v>1</v>
      </c>
      <c r="G74" s="321" t="str">
        <f>Překlady!$A$146</f>
        <v>Nakładany system prowadzenia z metalic-line 29 mm i mechanizmem C3 można łączyć jedynie z systemem nawijania przez mechanike C3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>Nakładany system prowadzenia z metalic-line 29 mm i mechanizmem C3 można łączyć jedynie z systemem nawijania przez mechanike C3</v>
      </c>
      <c r="N74">
        <f t="shared" si="5"/>
        <v>1</v>
      </c>
    </row>
    <row r="75" spans="1:14" x14ac:dyDescent="0.2">
      <c r="A75" s="255" t="str">
        <f>výpočty!$R$14</f>
        <v>Pionowy (z góry na dół)</v>
      </c>
      <c r="B75" s="256" t="str">
        <f>výpočty!$R$9</f>
        <v>Do tyłu</v>
      </c>
      <c r="C75" t="str">
        <f>výpočty!$R$7</f>
        <v>Nakładany z prowadzeniem metalic-line 29 mm i mechanimem C3</v>
      </c>
      <c r="D75" s="36" t="str">
        <f>výpočty!$W$12</f>
        <v>Calvados (E23)</v>
      </c>
      <c r="E75" t="s">
        <v>2131</v>
      </c>
      <c r="F75">
        <v>1</v>
      </c>
      <c r="G75" s="321" t="str">
        <f>Překlady!$A$146</f>
        <v>Nakładany system prowadzenia z metalic-line 29 mm i mechanizmem C3 można łączyć jedynie z systemem nawijania przez mechanike C3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>Nakładany system prowadzenia z metalic-line 29 mm i mechanizmem C3 można łączyć jedynie z systemem nawijania przez mechanike C3</v>
      </c>
      <c r="N75">
        <f t="shared" si="5"/>
        <v>1</v>
      </c>
    </row>
    <row r="76" spans="1:14" x14ac:dyDescent="0.2">
      <c r="A76" s="255" t="str">
        <f>výpočty!$R$14</f>
        <v>Pionowy (z góry na dół)</v>
      </c>
      <c r="B76" s="256" t="str">
        <f>výpočty!$R$9</f>
        <v>Do tyłu</v>
      </c>
      <c r="C76" t="str">
        <f>výpočty!$R$7</f>
        <v>Nakładany z prowadzeniem metalic-line 29 mm i mechanimem C3</v>
      </c>
      <c r="D76" s="36" t="str">
        <f>výpočty!$W$14</f>
        <v>śnieżno biala mat (E9)</v>
      </c>
      <c r="E76" t="s">
        <v>2131</v>
      </c>
      <c r="F76">
        <v>1</v>
      </c>
      <c r="G76" s="321" t="str">
        <f>Překlady!$A$142</f>
        <v>Kolor śnieżno biały w profilu E9 można łączyć jedynie z prowadzeniem Classic i systemem nawijania do tyłu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Kolor śnieżno biały w profilu E9 można łączyć jedynie z prowadzeniem Classic i systemem nawijania do tyłu</v>
      </c>
      <c r="N76">
        <f t="shared" si="5"/>
        <v>1</v>
      </c>
    </row>
    <row r="77" spans="1:14" x14ac:dyDescent="0.2">
      <c r="A77" s="255" t="str">
        <f>výpočty!$R$14</f>
        <v>Pionowy (z góry na dół)</v>
      </c>
      <c r="B77" s="256" t="str">
        <f>výpočty!$R$9</f>
        <v>Do tyłu</v>
      </c>
      <c r="C77" t="str">
        <f>výpočty!$R$7</f>
        <v>Nakładany z prowadzeniem metalic-line 29 mm i mechanimem C3</v>
      </c>
      <c r="D77" s="36" t="str">
        <f>výpočty!$W$15</f>
        <v>Aluminowa plastik (E4)</v>
      </c>
      <c r="E77" t="s">
        <v>2131</v>
      </c>
      <c r="F77">
        <v>1</v>
      </c>
      <c r="G77" s="321" t="str">
        <f>Překlady!$A$143</f>
        <v>Kolor aluminium plastik w profilu E4 jest idealny do poziomych rozwiązań w kombinacji z prowadzeniem Classic z systemem nawijania do tyłu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>Kolor aluminium plastik w profilu E4 jest idealny do poziomych rozwiązań w kombinacji z prowadzeniem Classic z systemem nawijania do tyłu</v>
      </c>
      <c r="N77">
        <f t="shared" si="5"/>
        <v>1</v>
      </c>
    </row>
    <row r="78" spans="1:14" x14ac:dyDescent="0.2">
      <c r="A78" s="255" t="str">
        <f>výpočty!$R$14</f>
        <v>Pionowy (z góry na dół)</v>
      </c>
      <c r="B78" s="256" t="str">
        <f>výpočty!$R$9</f>
        <v>Do tyłu</v>
      </c>
      <c r="C78" t="str">
        <f>výpočty!$R$7</f>
        <v>Nakładany z prowadzeniem metalic-line 29 mm i mechanimem C3</v>
      </c>
      <c r="D78" s="36">
        <f>výpočty!$W$17</f>
        <v>0</v>
      </c>
      <c r="E78" s="321" t="s">
        <v>2131</v>
      </c>
      <c r="F78">
        <v>0</v>
      </c>
      <c r="G78" s="321" t="str">
        <f>Překlady!$A$146</f>
        <v>Nakładany system prowadzenia z metalic-line 29 mm i mechanizmem C3 można łączyć jedynie z systemem nawijania przez mechanike C3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>Nakładany system prowadzenia z metalic-line 29 mm i mechanizmem C3 można łączyć jedynie z systemem nawijania przez mechanike C3</v>
      </c>
      <c r="N78">
        <f t="shared" si="5"/>
        <v>0</v>
      </c>
    </row>
    <row r="79" spans="1:14" x14ac:dyDescent="0.2">
      <c r="A79" s="255" t="str">
        <f>výpočty!$R$14</f>
        <v>Pionowy (z góry na dół)</v>
      </c>
      <c r="B79" s="256" t="str">
        <f>výpočty!$R$9</f>
        <v>Do tyłu</v>
      </c>
      <c r="C79" t="str">
        <f>výpočty!$R$7</f>
        <v>Nakładany z prowadzeniem metalic-line 29 mm i mechanimem C3</v>
      </c>
      <c r="D79" s="36">
        <f>výpočty!$W$18</f>
        <v>0</v>
      </c>
      <c r="E79" s="321" t="s">
        <v>2131</v>
      </c>
      <c r="F79">
        <v>0</v>
      </c>
      <c r="G79" s="321" t="str">
        <f>Překlady!$A$146</f>
        <v>Nakładany system prowadzenia z metalic-line 29 mm i mechanizmem C3 można łączyć jedynie z systemem nawijania przez mechanike C3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>Nakładany system prowadzenia z metalic-line 29 mm i mechanizmem C3 można łączyć jedynie z systemem nawijania przez mechanike C3</v>
      </c>
      <c r="N79">
        <f t="shared" si="5"/>
        <v>0</v>
      </c>
    </row>
    <row r="80" spans="1:14" x14ac:dyDescent="0.2">
      <c r="A80" s="255" t="str">
        <f>výpočty!$R$14</f>
        <v>Pionowy (z góry na dół)</v>
      </c>
      <c r="B80" s="256" t="str">
        <f>výpočty!$R$9</f>
        <v>Do tyłu</v>
      </c>
      <c r="C80" t="str">
        <f>výpočty!$R$7</f>
        <v>Nakładany z prowadzeniem metalic-line 29 mm i mechanimem C3</v>
      </c>
      <c r="D80" s="36" t="str">
        <f>výpočty!$W$19</f>
        <v>Aluminium szerokość 25 mm (metallic-line)</v>
      </c>
      <c r="E80" s="321" t="s">
        <v>2131</v>
      </c>
      <c r="F80">
        <v>0</v>
      </c>
      <c r="G80" s="321" t="str">
        <f>Překlady!$A$146</f>
        <v>Nakładany system prowadzenia z metalic-line 29 mm i mechanizmem C3 można łączyć jedynie z systemem nawijania przez mechanike C3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>Nakładany system prowadzenia z metalic-line 29 mm i mechanizmem C3 można łączyć jedynie z systemem nawijania przez mechanike C3</v>
      </c>
      <c r="N80">
        <f t="shared" si="5"/>
        <v>0</v>
      </c>
    </row>
    <row r="81" spans="1:14" ht="13.5" thickBot="1" x14ac:dyDescent="0.25">
      <c r="A81" s="255" t="str">
        <f>výpočty!$R$14</f>
        <v>Pionowy (z góry na dół)</v>
      </c>
      <c r="B81" s="256" t="str">
        <f>výpočty!$R$9</f>
        <v>Do tyłu</v>
      </c>
      <c r="C81" t="str">
        <f>výpočty!$R$7</f>
        <v>Nakładany z prowadzeniem metalic-line 29 mm i mechanimem C3</v>
      </c>
      <c r="D81" s="27" t="str">
        <f>výpočty!$W$20</f>
        <v>Nierdz. szerokość 25 mm (metallic-line)</v>
      </c>
      <c r="E81" s="321" t="s">
        <v>2131</v>
      </c>
      <c r="F81">
        <v>0</v>
      </c>
      <c r="G81" s="321" t="str">
        <f>Překlady!$A$146</f>
        <v>Nakładany system prowadzenia z metalic-line 29 mm i mechanizmem C3 można łączyć jedynie z systemem nawijania przez mechanike C3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>Nakładany system prowadzenia z metalic-line 29 mm i mechanizmem C3 można łączyć jedynie z systemem nawijania przez mechanike C3</v>
      </c>
      <c r="N81">
        <f t="shared" si="5"/>
        <v>0</v>
      </c>
    </row>
    <row r="82" spans="1:14" x14ac:dyDescent="0.2">
      <c r="A82" s="255" t="str">
        <f>výpočty!$R$14</f>
        <v>Pionowy (z góry na dół)</v>
      </c>
      <c r="B82" s="256" t="str">
        <f>výpočty!$R$10</f>
        <v>Do ślimaka roletowego</v>
      </c>
      <c r="C82" t="str">
        <f>výpočty!$R$3</f>
        <v>TOP Basic - wpuszczany do przykręcenia plastikowy</v>
      </c>
      <c r="D82" s="26" t="str">
        <f>výpočty!$W$3</f>
        <v>Czarny (E23)</v>
      </c>
      <c r="E82" t="s">
        <v>2131</v>
      </c>
      <c r="F82">
        <v>1</v>
      </c>
      <c r="G82" t="str">
        <f>Překlady!$A$147</f>
        <v>Systemu TOP BASIC nie da się zastosować z ślimakiem roletowym. Zalecamy wybrać wersję TOP.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>Systemu TOP BASIC nie da się zastosować z ślimakiem roletowym. Zalecamy wybrać wersję TOP.</v>
      </c>
      <c r="N82">
        <f t="shared" si="5"/>
        <v>1</v>
      </c>
    </row>
    <row r="83" spans="1:14" x14ac:dyDescent="0.2">
      <c r="A83" s="255" t="str">
        <f>výpočty!$R$14</f>
        <v>Pionowy (z góry na dół)</v>
      </c>
      <c r="B83" s="256" t="str">
        <f>výpočty!$R$10</f>
        <v>Do ślimaka roletowego</v>
      </c>
      <c r="C83" t="str">
        <f>výpočty!$R$3</f>
        <v>TOP Basic - wpuszczany do przykręcenia plastikowy</v>
      </c>
      <c r="D83" s="36" t="str">
        <f>výpočty!$W$4</f>
        <v>Biały (E23)</v>
      </c>
      <c r="E83" t="s">
        <v>2131</v>
      </c>
      <c r="F83">
        <v>1</v>
      </c>
      <c r="G83" t="str">
        <f>Překlady!$A$147</f>
        <v>Systemu TOP BASIC nie da się zastosować z ślimakiem roletowym. Zalecamy wybrać wersję TOP.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>Systemu TOP BASIC nie da się zastosować z ślimakiem roletowym. Zalecamy wybrać wersję TOP.</v>
      </c>
      <c r="N83">
        <f t="shared" si="5"/>
        <v>1</v>
      </c>
    </row>
    <row r="84" spans="1:14" x14ac:dyDescent="0.2">
      <c r="A84" s="255" t="str">
        <f>výpočty!$R$14</f>
        <v>Pionowy (z góry na dół)</v>
      </c>
      <c r="B84" s="256" t="str">
        <f>výpočty!$R$10</f>
        <v>Do ślimaka roletowego</v>
      </c>
      <c r="C84" t="str">
        <f>výpočty!$R$3</f>
        <v>TOP Basic - wpuszczany do przykręcenia plastikowy</v>
      </c>
      <c r="D84" s="36" t="str">
        <f>výpočty!$W$5</f>
        <v>Szary (E23)</v>
      </c>
      <c r="E84" t="s">
        <v>2131</v>
      </c>
      <c r="F84">
        <v>1</v>
      </c>
      <c r="G84" t="str">
        <f>Překlady!$A$147</f>
        <v>Systemu TOP BASIC nie da się zastosować z ślimakiem roletowym. Zalecamy wybrać wersję TOP.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>Systemu TOP BASIC nie da się zastosować z ślimakiem roletowym. Zalecamy wybrać wersję TOP.</v>
      </c>
      <c r="N84">
        <f t="shared" si="5"/>
        <v>1</v>
      </c>
    </row>
    <row r="85" spans="1:14" x14ac:dyDescent="0.2">
      <c r="A85" s="255" t="str">
        <f>výpočty!$R$14</f>
        <v>Pionowy (z góry na dół)</v>
      </c>
      <c r="B85" s="256" t="str">
        <f>výpočty!$R$10</f>
        <v>Do ślimaka roletowego</v>
      </c>
      <c r="C85" t="str">
        <f>výpočty!$R$3</f>
        <v>TOP Basic - wpuszczany do przykręcenia plastikowy</v>
      </c>
      <c r="D85" s="36" t="str">
        <f>výpočty!$W$6</f>
        <v>Aluminowa plastik (E23)</v>
      </c>
      <c r="E85" t="s">
        <v>2131</v>
      </c>
      <c r="F85">
        <v>1</v>
      </c>
      <c r="G85" t="str">
        <f>Překlady!$A$147</f>
        <v>Systemu TOP BASIC nie da się zastosować z ślimakiem roletowym. Zalecamy wybrać wersję TOP.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>Systemu TOP BASIC nie da się zastosować z ślimakiem roletowym. Zalecamy wybrać wersję TOP.</v>
      </c>
      <c r="N85">
        <f t="shared" si="5"/>
        <v>1</v>
      </c>
    </row>
    <row r="86" spans="1:14" x14ac:dyDescent="0.2">
      <c r="A86" s="255" t="str">
        <f>výpočty!$R$14</f>
        <v>Pionowy (z góry na dół)</v>
      </c>
      <c r="B86" s="256" t="str">
        <f>výpočty!$R$10</f>
        <v>Do ślimaka roletowego</v>
      </c>
      <c r="C86" t="str">
        <f>výpočty!$R$3</f>
        <v>TOP Basic - wpuszczany do przykręcenia plastikowy</v>
      </c>
      <c r="D86" s="36" t="str">
        <f>výpočty!$W$7</f>
        <v>Buk (E23)</v>
      </c>
      <c r="E86" t="s">
        <v>2131</v>
      </c>
      <c r="F86">
        <v>1</v>
      </c>
      <c r="G86" t="str">
        <f>Překlady!$A$147</f>
        <v>Systemu TOP BASIC nie da się zastosować z ślimakiem roletowym. Zalecamy wybrać wersję TOP.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>Systemu TOP BASIC nie da się zastosować z ślimakiem roletowym. Zalecamy wybrać wersję TOP.</v>
      </c>
      <c r="N86">
        <f t="shared" si="5"/>
        <v>1</v>
      </c>
    </row>
    <row r="87" spans="1:14" x14ac:dyDescent="0.2">
      <c r="A87" s="255" t="str">
        <f>výpočty!$R$14</f>
        <v>Pionowy (z góry na dół)</v>
      </c>
      <c r="B87" s="256" t="str">
        <f>výpočty!$R$10</f>
        <v>Do ślimaka roletowego</v>
      </c>
      <c r="C87" t="str">
        <f>výpočty!$R$3</f>
        <v>TOP Basic - wpuszczany do przykręcenia plastikowy</v>
      </c>
      <c r="D87" s="36" t="str">
        <f>výpočty!$W$8</f>
        <v>Czereśnia (E23)</v>
      </c>
      <c r="E87" t="s">
        <v>2131</v>
      </c>
      <c r="F87">
        <v>1</v>
      </c>
      <c r="G87" t="str">
        <f>Překlady!$A$147</f>
        <v>Systemu TOP BASIC nie da się zastosować z ślimakiem roletowym. Zalecamy wybrać wersję TOP.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>Systemu TOP BASIC nie da się zastosować z ślimakiem roletowym. Zalecamy wybrać wersję TOP.</v>
      </c>
      <c r="N87">
        <f t="shared" si="5"/>
        <v>1</v>
      </c>
    </row>
    <row r="88" spans="1:14" x14ac:dyDescent="0.2">
      <c r="A88" s="255" t="str">
        <f>výpočty!$R$14</f>
        <v>Pionowy (z góry na dół)</v>
      </c>
      <c r="B88" s="256" t="str">
        <f>výpočty!$R$10</f>
        <v>Do ślimaka roletowego</v>
      </c>
      <c r="C88" t="str">
        <f>výpočty!$R$3</f>
        <v>TOP Basic - wpuszczany do przykręcenia plastikowy</v>
      </c>
      <c r="D88" s="36" t="str">
        <f>výpočty!$W$9</f>
        <v>Klon (E23)</v>
      </c>
      <c r="E88" t="s">
        <v>2131</v>
      </c>
      <c r="F88">
        <v>1</v>
      </c>
      <c r="G88" t="str">
        <f>Překlady!$A$147</f>
        <v>Systemu TOP BASIC nie da się zastosować z ślimakiem roletowym. Zalecamy wybrać wersję TOP.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>Systemu TOP BASIC nie da się zastosować z ślimakiem roletowym. Zalecamy wybrać wersję TOP.</v>
      </c>
      <c r="N88">
        <f t="shared" si="5"/>
        <v>1</v>
      </c>
    </row>
    <row r="89" spans="1:14" x14ac:dyDescent="0.2">
      <c r="A89" s="255" t="str">
        <f>výpočty!$R$14</f>
        <v>Pionowy (z góry na dół)</v>
      </c>
      <c r="B89" s="256" t="str">
        <f>výpočty!$R$10</f>
        <v>Do ślimaka roletowego</v>
      </c>
      <c r="C89" t="str">
        <f>výpočty!$R$3</f>
        <v>TOP Basic - wpuszczany do przykręcenia plastikowy</v>
      </c>
      <c r="D89" s="36" t="str">
        <f>výpočty!$W$10</f>
        <v>Brzoza (E23)</v>
      </c>
      <c r="E89" t="s">
        <v>2131</v>
      </c>
      <c r="F89">
        <v>1</v>
      </c>
      <c r="G89" t="str">
        <f>Překlady!$A$147</f>
        <v>Systemu TOP BASIC nie da się zastosować z ślimakiem roletowym. Zalecamy wybrać wersję TOP.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>Systemu TOP BASIC nie da się zastosować z ślimakiem roletowym. Zalecamy wybrać wersję TOP.</v>
      </c>
      <c r="N89">
        <f t="shared" si="5"/>
        <v>1</v>
      </c>
    </row>
    <row r="90" spans="1:14" x14ac:dyDescent="0.2">
      <c r="A90" s="255" t="str">
        <f>výpočty!$R$14</f>
        <v>Pionowy (z góry na dół)</v>
      </c>
      <c r="B90" s="256" t="str">
        <f>výpočty!$R$10</f>
        <v>Do ślimaka roletowego</v>
      </c>
      <c r="C90" t="str">
        <f>výpočty!$R$3</f>
        <v>TOP Basic - wpuszczany do przykręcenia plastikowy</v>
      </c>
      <c r="D90" s="36" t="str">
        <f>výpočty!$W$11</f>
        <v>Czereśnia havana (E23)</v>
      </c>
      <c r="E90" t="s">
        <v>2131</v>
      </c>
      <c r="F90">
        <v>1</v>
      </c>
      <c r="G90" t="str">
        <f>Překlady!$A$147</f>
        <v>Systemu TOP BASIC nie da się zastosować z ślimakiem roletowym. Zalecamy wybrać wersję TOP.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>Systemu TOP BASIC nie da się zastosować z ślimakiem roletowym. Zalecamy wybrać wersję TOP.</v>
      </c>
      <c r="N90">
        <f t="shared" si="5"/>
        <v>1</v>
      </c>
    </row>
    <row r="91" spans="1:14" x14ac:dyDescent="0.2">
      <c r="A91" s="255" t="str">
        <f>výpočty!$R$14</f>
        <v>Pionowy (z góry na dół)</v>
      </c>
      <c r="B91" s="256" t="str">
        <f>výpočty!$R$10</f>
        <v>Do ślimaka roletowego</v>
      </c>
      <c r="C91" t="str">
        <f>výpočty!$R$3</f>
        <v>TOP Basic - wpuszczany do przykręcenia plastikowy</v>
      </c>
      <c r="D91" s="36" t="str">
        <f>výpočty!$W$12</f>
        <v>Calvados (E23)</v>
      </c>
      <c r="E91" t="s">
        <v>2131</v>
      </c>
      <c r="F91">
        <v>1</v>
      </c>
      <c r="G91" t="str">
        <f>Překlady!$A$147</f>
        <v>Systemu TOP BASIC nie da się zastosować z ślimakiem roletowym. Zalecamy wybrać wersję TOP.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>Systemu TOP BASIC nie da się zastosować z ślimakiem roletowym. Zalecamy wybrać wersję TOP.</v>
      </c>
      <c r="N91">
        <f t="shared" si="5"/>
        <v>1</v>
      </c>
    </row>
    <row r="92" spans="1:14" x14ac:dyDescent="0.2">
      <c r="A92" s="255" t="str">
        <f>výpočty!$R$14</f>
        <v>Pionowy (z góry na dół)</v>
      </c>
      <c r="B92" s="256" t="str">
        <f>výpočty!$R$10</f>
        <v>Do ślimaka roletowego</v>
      </c>
      <c r="C92" t="str">
        <f>výpočty!$R$3</f>
        <v>TOP Basic - wpuszczany do przykręcenia plastikowy</v>
      </c>
      <c r="D92" s="36" t="str">
        <f>výpočty!$W$14</f>
        <v>śnieżno biala mat (E9)</v>
      </c>
      <c r="E92" t="s">
        <v>2131</v>
      </c>
      <c r="F92">
        <v>1</v>
      </c>
      <c r="G92" s="321" t="str">
        <f>Překlady!$A$142</f>
        <v>Kolor śnieżno biały w profilu E9 można łączyć jedynie z prowadzeniem Classic i systemem nawijania do tyłu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Kolor śnieżno biały w profilu E9 można łączyć jedynie z prowadzeniem Classic i systemem nawijania do tyłu</v>
      </c>
      <c r="N92">
        <f t="shared" si="5"/>
        <v>1</v>
      </c>
    </row>
    <row r="93" spans="1:14" x14ac:dyDescent="0.2">
      <c r="A93" s="255" t="str">
        <f>výpočty!$R$14</f>
        <v>Pionowy (z góry na dół)</v>
      </c>
      <c r="B93" s="256" t="str">
        <f>výpočty!$R$10</f>
        <v>Do ślimaka roletowego</v>
      </c>
      <c r="C93" t="str">
        <f>výpočty!$R$3</f>
        <v>TOP Basic - wpuszczany do przykręcenia plastikowy</v>
      </c>
      <c r="D93" s="36" t="str">
        <f>výpočty!$W$15</f>
        <v>Aluminowa plastik (E4)</v>
      </c>
      <c r="E93" t="s">
        <v>2131</v>
      </c>
      <c r="F93">
        <v>1</v>
      </c>
      <c r="G93" s="321" t="str">
        <f>Překlady!$A$143</f>
        <v>Kolor aluminium plastik w profilu E4 jest idealny do poziomych rozwiązań w kombinacji z prowadzeniem Classic z systemem nawijania do tyłu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>Kolor aluminium plastik w profilu E4 jest idealny do poziomych rozwiązań w kombinacji z prowadzeniem Classic z systemem nawijania do tyłu</v>
      </c>
      <c r="N93">
        <f t="shared" si="5"/>
        <v>1</v>
      </c>
    </row>
    <row r="94" spans="1:14" x14ac:dyDescent="0.2">
      <c r="A94" s="255" t="str">
        <f>výpočty!$R$14</f>
        <v>Pionowy (z góry na dół)</v>
      </c>
      <c r="B94" s="256" t="str">
        <f>výpočty!$R$10</f>
        <v>Do ślimaka roletowego</v>
      </c>
      <c r="C94" t="str">
        <f>výpočty!$R$3</f>
        <v>TOP Basic - wpuszczany do przykręcenia plastikowy</v>
      </c>
      <c r="D94" s="36">
        <f>výpočty!$W$17</f>
        <v>0</v>
      </c>
      <c r="E94" t="s">
        <v>2131</v>
      </c>
      <c r="F94">
        <v>1</v>
      </c>
      <c r="G94" t="str">
        <f>Překlady!$A$147</f>
        <v>Systemu TOP BASIC nie da się zastosować z ślimakiem roletowym. Zalecamy wybrać wersję TOP.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>Systemu TOP BASIC nie da się zastosować z ślimakiem roletowym. Zalecamy wybrać wersję TOP.</v>
      </c>
      <c r="N94">
        <f t="shared" si="5"/>
        <v>1</v>
      </c>
    </row>
    <row r="95" spans="1:14" x14ac:dyDescent="0.2">
      <c r="A95" s="255" t="str">
        <f>výpočty!$R$14</f>
        <v>Pionowy (z góry na dół)</v>
      </c>
      <c r="B95" s="256" t="str">
        <f>výpočty!$R$10</f>
        <v>Do ślimaka roletowego</v>
      </c>
      <c r="C95" t="str">
        <f>výpočty!$R$3</f>
        <v>TOP Basic - wpuszczany do przykręcenia plastikowy</v>
      </c>
      <c r="D95" s="36">
        <f>výpočty!$W$18</f>
        <v>0</v>
      </c>
      <c r="E95" t="s">
        <v>2131</v>
      </c>
      <c r="F95">
        <v>1</v>
      </c>
      <c r="G95" t="str">
        <f>Překlady!$A$147</f>
        <v>Systemu TOP BASIC nie da się zastosować z ślimakiem roletowym. Zalecamy wybrać wersję TOP.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>Systemu TOP BASIC nie da się zastosować z ślimakiem roletowym. Zalecamy wybrać wersję TOP.</v>
      </c>
      <c r="N95">
        <f t="shared" si="5"/>
        <v>1</v>
      </c>
    </row>
    <row r="96" spans="1:14" x14ac:dyDescent="0.2">
      <c r="A96" s="255" t="str">
        <f>výpočty!$R$14</f>
        <v>Pionowy (z góry na dół)</v>
      </c>
      <c r="B96" s="256" t="str">
        <f>výpočty!$R$10</f>
        <v>Do ślimaka roletowego</v>
      </c>
      <c r="C96" t="str">
        <f>výpočty!$R$3</f>
        <v>TOP Basic - wpuszczany do przykręcenia plastikowy</v>
      </c>
      <c r="D96" s="36" t="str">
        <f>výpočty!$W$19</f>
        <v>Aluminium szerokość 25 mm (metallic-line)</v>
      </c>
      <c r="E96" t="s">
        <v>2131</v>
      </c>
      <c r="F96">
        <v>1</v>
      </c>
      <c r="G96" t="str">
        <f>Překlady!$A$147</f>
        <v>Systemu TOP BASIC nie da się zastosować z ślimakiem roletowym. Zalecamy wybrać wersję TOP.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>Systemu TOP BASIC nie da się zastosować z ślimakiem roletowym. Zalecamy wybrać wersję TOP.</v>
      </c>
      <c r="N96">
        <f t="shared" si="5"/>
        <v>1</v>
      </c>
    </row>
    <row r="97" spans="1:14" ht="13.5" thickBot="1" x14ac:dyDescent="0.25">
      <c r="A97" s="255" t="str">
        <f>výpočty!$R$14</f>
        <v>Pionowy (z góry na dół)</v>
      </c>
      <c r="B97" s="256" t="str">
        <f>výpočty!$R$10</f>
        <v>Do ślimaka roletowego</v>
      </c>
      <c r="C97" t="str">
        <f>výpočty!$R$3</f>
        <v>TOP Basic - wpuszczany do przykręcenia plastikowy</v>
      </c>
      <c r="D97" s="27" t="str">
        <f>výpočty!$W$20</f>
        <v>Nierdz. szerokość 25 mm (metallic-line)</v>
      </c>
      <c r="E97" t="s">
        <v>2131</v>
      </c>
      <c r="F97">
        <v>1</v>
      </c>
      <c r="G97" t="str">
        <f>Překlady!$A$147</f>
        <v>Systemu TOP BASIC nie da się zastosować z ślimakiem roletowym. Zalecamy wybrać wersję TOP.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>Systemu TOP BASIC nie da się zastosować z ślimakiem roletowym. Zalecamy wybrać wersję TOP.</v>
      </c>
      <c r="N97">
        <f t="shared" si="5"/>
        <v>1</v>
      </c>
    </row>
    <row r="98" spans="1:14" x14ac:dyDescent="0.2">
      <c r="A98" s="255" t="str">
        <f>výpočty!$R$14</f>
        <v>Pionowy (z góry na dół)</v>
      </c>
      <c r="B98" s="256" t="str">
        <f>výpočty!$R$10</f>
        <v>Do ślimaka roletowego</v>
      </c>
      <c r="C98" t="str">
        <f>výpočty!$R$4</f>
        <v>Classic - wpuszczany do zafrezowania</v>
      </c>
      <c r="D98" s="26" t="str">
        <f>výpočty!$W$3</f>
        <v>Czarny (E23)</v>
      </c>
      <c r="E98" t="s">
        <v>2130</v>
      </c>
      <c r="F98">
        <v>0</v>
      </c>
      <c r="G98" t="s">
        <v>2140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x14ac:dyDescent="0.2">
      <c r="A99" s="255" t="str">
        <f>výpočty!$R$14</f>
        <v>Pionowy (z góry na dół)</v>
      </c>
      <c r="B99" s="256" t="str">
        <f>výpočty!$R$10</f>
        <v>Do ślimaka roletowego</v>
      </c>
      <c r="C99" t="str">
        <f>výpočty!$R$4</f>
        <v>Classic - wpuszczany do zafrezowania</v>
      </c>
      <c r="D99" s="36" t="str">
        <f>výpočty!$W$4</f>
        <v>Biały (E23)</v>
      </c>
      <c r="E99" t="s">
        <v>2130</v>
      </c>
      <c r="F99">
        <v>0</v>
      </c>
      <c r="G99" t="s">
        <v>2140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x14ac:dyDescent="0.2">
      <c r="A100" s="255" t="str">
        <f>výpočty!$R$14</f>
        <v>Pionowy (z góry na dół)</v>
      </c>
      <c r="B100" s="256" t="str">
        <f>výpočty!$R$10</f>
        <v>Do ślimaka roletowego</v>
      </c>
      <c r="C100" t="str">
        <f>výpočty!$R$4</f>
        <v>Classic - wpuszczany do zafrezowania</v>
      </c>
      <c r="D100" s="36" t="str">
        <f>výpočty!$W$5</f>
        <v>Szary (E23)</v>
      </c>
      <c r="E100" t="s">
        <v>2130</v>
      </c>
      <c r="F100">
        <v>0</v>
      </c>
      <c r="G100" t="s">
        <v>2140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x14ac:dyDescent="0.2">
      <c r="A101" s="255" t="str">
        <f>výpočty!$R$14</f>
        <v>Pionowy (z góry na dół)</v>
      </c>
      <c r="B101" s="256" t="str">
        <f>výpočty!$R$10</f>
        <v>Do ślimaka roletowego</v>
      </c>
      <c r="C101" t="str">
        <f>výpočty!$R$4</f>
        <v>Classic - wpuszczany do zafrezowania</v>
      </c>
      <c r="D101" s="36" t="str">
        <f>výpočty!$W$6</f>
        <v>Aluminowa plastik (E23)</v>
      </c>
      <c r="E101" t="s">
        <v>2130</v>
      </c>
      <c r="F101">
        <v>0</v>
      </c>
      <c r="G101" t="s">
        <v>2140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x14ac:dyDescent="0.2">
      <c r="A102" s="255" t="str">
        <f>výpočty!$R$14</f>
        <v>Pionowy (z góry na dół)</v>
      </c>
      <c r="B102" s="256" t="str">
        <f>výpočty!$R$10</f>
        <v>Do ślimaka roletowego</v>
      </c>
      <c r="C102" t="str">
        <f>výpočty!$R$4</f>
        <v>Classic - wpuszczany do zafrezowania</v>
      </c>
      <c r="D102" s="36" t="str">
        <f>výpočty!$W$7</f>
        <v>Buk (E23)</v>
      </c>
      <c r="E102" t="s">
        <v>2130</v>
      </c>
      <c r="F102">
        <v>0</v>
      </c>
      <c r="G102" t="s">
        <v>2140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x14ac:dyDescent="0.2">
      <c r="A103" s="255" t="str">
        <f>výpočty!$R$14</f>
        <v>Pionowy (z góry na dół)</v>
      </c>
      <c r="B103" s="256" t="str">
        <f>výpočty!$R$10</f>
        <v>Do ślimaka roletowego</v>
      </c>
      <c r="C103" t="str">
        <f>výpočty!$R$4</f>
        <v>Classic - wpuszczany do zafrezowania</v>
      </c>
      <c r="D103" s="36" t="str">
        <f>výpočty!$W$8</f>
        <v>Czereśnia (E23)</v>
      </c>
      <c r="E103" t="s">
        <v>2130</v>
      </c>
      <c r="F103">
        <v>0</v>
      </c>
      <c r="G103" t="s">
        <v>2140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x14ac:dyDescent="0.2">
      <c r="A104" s="255" t="str">
        <f>výpočty!$R$14</f>
        <v>Pionowy (z góry na dół)</v>
      </c>
      <c r="B104" s="256" t="str">
        <f>výpočty!$R$10</f>
        <v>Do ślimaka roletowego</v>
      </c>
      <c r="C104" t="str">
        <f>výpočty!$R$4</f>
        <v>Classic - wpuszczany do zafrezowania</v>
      </c>
      <c r="D104" s="36" t="str">
        <f>výpočty!$W$9</f>
        <v>Klon (E23)</v>
      </c>
      <c r="E104" t="s">
        <v>2130</v>
      </c>
      <c r="F104">
        <v>0</v>
      </c>
      <c r="G104" t="s">
        <v>2140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x14ac:dyDescent="0.2">
      <c r="A105" s="255" t="str">
        <f>výpočty!$R$14</f>
        <v>Pionowy (z góry na dół)</v>
      </c>
      <c r="B105" s="256" t="str">
        <f>výpočty!$R$10</f>
        <v>Do ślimaka roletowego</v>
      </c>
      <c r="C105" t="str">
        <f>výpočty!$R$4</f>
        <v>Classic - wpuszczany do zafrezowania</v>
      </c>
      <c r="D105" s="36" t="str">
        <f>výpočty!$W$10</f>
        <v>Brzoza (E23)</v>
      </c>
      <c r="E105" t="s">
        <v>2130</v>
      </c>
      <c r="F105">
        <v>0</v>
      </c>
      <c r="G105" t="s">
        <v>2140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x14ac:dyDescent="0.2">
      <c r="A106" s="255" t="str">
        <f>výpočty!$R$14</f>
        <v>Pionowy (z góry na dół)</v>
      </c>
      <c r="B106" s="256" t="str">
        <f>výpočty!$R$10</f>
        <v>Do ślimaka roletowego</v>
      </c>
      <c r="C106" t="str">
        <f>výpočty!$R$4</f>
        <v>Classic - wpuszczany do zafrezowania</v>
      </c>
      <c r="D106" s="36" t="str">
        <f>výpočty!$W$11</f>
        <v>Czereśnia havana (E23)</v>
      </c>
      <c r="E106" t="s">
        <v>2130</v>
      </c>
      <c r="F106">
        <v>0</v>
      </c>
      <c r="G106" t="s">
        <v>2140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x14ac:dyDescent="0.2">
      <c r="A107" s="255" t="str">
        <f>výpočty!$R$14</f>
        <v>Pionowy (z góry na dół)</v>
      </c>
      <c r="B107" s="256" t="str">
        <f>výpočty!$R$10</f>
        <v>Do ślimaka roletowego</v>
      </c>
      <c r="C107" t="str">
        <f>výpočty!$R$4</f>
        <v>Classic - wpuszczany do zafrezowania</v>
      </c>
      <c r="D107" s="36" t="str">
        <f>výpočty!$W$12</f>
        <v>Calvados (E23)</v>
      </c>
      <c r="E107" t="s">
        <v>2130</v>
      </c>
      <c r="F107">
        <v>0</v>
      </c>
      <c r="G107" t="s">
        <v>2140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x14ac:dyDescent="0.2">
      <c r="A108" s="255" t="str">
        <f>výpočty!$R$14</f>
        <v>Pionowy (z góry na dół)</v>
      </c>
      <c r="B108" s="256" t="str">
        <f>výpočty!$R$10</f>
        <v>Do ślimaka roletowego</v>
      </c>
      <c r="C108" t="str">
        <f>výpočty!$R$4</f>
        <v>Classic - wpuszczany do zafrezowania</v>
      </c>
      <c r="D108" s="350" t="str">
        <f>výpočty!$W$14</f>
        <v>śnieżno biala mat (E9)</v>
      </c>
      <c r="E108" t="s">
        <v>2130</v>
      </c>
      <c r="F108">
        <v>0</v>
      </c>
      <c r="G108" t="s">
        <v>2140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x14ac:dyDescent="0.2">
      <c r="A109" s="255" t="str">
        <f>výpočty!$R$14</f>
        <v>Pionowy (z góry na dół)</v>
      </c>
      <c r="B109" s="256" t="str">
        <f>výpočty!$R$10</f>
        <v>Do ślimaka roletowego</v>
      </c>
      <c r="C109" t="str">
        <f>výpočty!$R$4</f>
        <v>Classic - wpuszczany do zafrezowania</v>
      </c>
      <c r="D109" s="36" t="str">
        <f>výpočty!$W$15</f>
        <v>Aluminowa plastik (E4)</v>
      </c>
      <c r="E109" s="321" t="s">
        <v>2131</v>
      </c>
      <c r="F109" s="321">
        <v>1</v>
      </c>
      <c r="G109" s="321" t="str">
        <f>Překlady!$A$143</f>
        <v>Kolor aluminium plastik w profilu E4 jest idealny do poziomych rozwiązań w kombinacji z prowadzeniem Classic z systemem nawijania do tyłu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>Kolor aluminium plastik w profilu E4 jest idealny do poziomych rozwiązań w kombinacji z prowadzeniem Classic z systemem nawijania do tyłu</v>
      </c>
      <c r="N109">
        <f t="shared" si="5"/>
        <v>1</v>
      </c>
    </row>
    <row r="110" spans="1:14" x14ac:dyDescent="0.2">
      <c r="A110" s="255" t="str">
        <f>výpočty!$R$14</f>
        <v>Pionowy (z góry na dół)</v>
      </c>
      <c r="B110" s="256" t="str">
        <f>výpočty!$R$10</f>
        <v>Do ślimaka roletowego</v>
      </c>
      <c r="C110" t="str">
        <f>výpočty!$R$4</f>
        <v>Classic - wpuszczany do zafrezowania</v>
      </c>
      <c r="D110" s="36">
        <f>výpočty!$W$17</f>
        <v>0</v>
      </c>
      <c r="E110" s="321" t="s">
        <v>2130</v>
      </c>
      <c r="F110">
        <v>0</v>
      </c>
      <c r="G110" t="s">
        <v>2140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x14ac:dyDescent="0.2">
      <c r="A111" s="255" t="str">
        <f>výpočty!$R$14</f>
        <v>Pionowy (z góry na dół)</v>
      </c>
      <c r="B111" s="256" t="str">
        <f>výpočty!$R$10</f>
        <v>Do ślimaka roletowego</v>
      </c>
      <c r="C111" t="str">
        <f>výpočty!$R$4</f>
        <v>Classic - wpuszczany do zafrezowania</v>
      </c>
      <c r="D111" s="36">
        <f>výpočty!$W$18</f>
        <v>0</v>
      </c>
      <c r="E111" s="321" t="s">
        <v>2130</v>
      </c>
      <c r="F111">
        <v>0</v>
      </c>
      <c r="G111" t="s">
        <v>2140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x14ac:dyDescent="0.2">
      <c r="A112" s="255" t="str">
        <f>výpočty!$R$14</f>
        <v>Pionowy (z góry na dół)</v>
      </c>
      <c r="B112" s="256" t="str">
        <f>výpočty!$R$10</f>
        <v>Do ślimaka roletowego</v>
      </c>
      <c r="C112" t="str">
        <f>výpočty!$R$4</f>
        <v>Classic - wpuszczany do zafrezowania</v>
      </c>
      <c r="D112" s="36" t="str">
        <f>výpočty!$W$19</f>
        <v>Aluminium szerokość 25 mm (metallic-line)</v>
      </c>
      <c r="E112" s="321" t="s">
        <v>2130</v>
      </c>
      <c r="F112">
        <v>0</v>
      </c>
      <c r="G112" t="s">
        <v>2140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3.5" thickBot="1" x14ac:dyDescent="0.25">
      <c r="A113" s="255" t="str">
        <f>výpočty!$R$14</f>
        <v>Pionowy (z góry na dół)</v>
      </c>
      <c r="B113" s="256" t="str">
        <f>výpočty!$R$10</f>
        <v>Do ślimaka roletowego</v>
      </c>
      <c r="C113" t="str">
        <f>výpočty!$R$4</f>
        <v>Classic - wpuszczany do zafrezowania</v>
      </c>
      <c r="D113" s="27" t="str">
        <f>výpočty!$W$20</f>
        <v>Nierdz. szerokość 25 mm (metallic-line)</v>
      </c>
      <c r="E113" s="321" t="s">
        <v>2130</v>
      </c>
      <c r="F113">
        <v>0</v>
      </c>
      <c r="G113" t="s">
        <v>2140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x14ac:dyDescent="0.2">
      <c r="A114" s="255" t="str">
        <f>výpočty!$R$14</f>
        <v>Pionowy (z góry na dół)</v>
      </c>
      <c r="B114" s="256" t="str">
        <f>výpočty!$R$10</f>
        <v>Do ślimaka roletowego</v>
      </c>
      <c r="C114" t="str">
        <f>výpočty!$R$5</f>
        <v>Frame - nakładany z listwą maskującą</v>
      </c>
      <c r="D114" s="26" t="str">
        <f>výpočty!$W$3</f>
        <v>Czarny (E23)</v>
      </c>
      <c r="E114" t="s">
        <v>2130</v>
      </c>
      <c r="F114">
        <v>0</v>
      </c>
      <c r="G114" t="s">
        <v>2140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x14ac:dyDescent="0.2">
      <c r="A115" s="255" t="str">
        <f>výpočty!$R$14</f>
        <v>Pionowy (z góry na dół)</v>
      </c>
      <c r="B115" s="256" t="str">
        <f>výpočty!$R$10</f>
        <v>Do ślimaka roletowego</v>
      </c>
      <c r="C115" t="str">
        <f>výpočty!$R$5</f>
        <v>Frame - nakładany z listwą maskującą</v>
      </c>
      <c r="D115" s="36" t="str">
        <f>výpočty!$W$4</f>
        <v>Biały (E23)</v>
      </c>
      <c r="E115" t="s">
        <v>2130</v>
      </c>
      <c r="F115">
        <v>0</v>
      </c>
      <c r="G115" t="s">
        <v>2140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x14ac:dyDescent="0.2">
      <c r="A116" s="255" t="str">
        <f>výpočty!$R$14</f>
        <v>Pionowy (z góry na dół)</v>
      </c>
      <c r="B116" s="256" t="str">
        <f>výpočty!$R$10</f>
        <v>Do ślimaka roletowego</v>
      </c>
      <c r="C116" t="str">
        <f>výpočty!$R$5</f>
        <v>Frame - nakładany z listwą maskującą</v>
      </c>
      <c r="D116" s="36" t="str">
        <f>výpočty!$W$5</f>
        <v>Szary (E23)</v>
      </c>
      <c r="E116" t="s">
        <v>2130</v>
      </c>
      <c r="F116">
        <v>0</v>
      </c>
      <c r="G116" t="s">
        <v>2140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x14ac:dyDescent="0.2">
      <c r="A117" s="255" t="str">
        <f>výpočty!$R$14</f>
        <v>Pionowy (z góry na dół)</v>
      </c>
      <c r="B117" s="256" t="str">
        <f>výpočty!$R$10</f>
        <v>Do ślimaka roletowego</v>
      </c>
      <c r="C117" t="str">
        <f>výpočty!$R$5</f>
        <v>Frame - nakładany z listwą maskującą</v>
      </c>
      <c r="D117" s="36" t="str">
        <f>výpočty!$W$6</f>
        <v>Aluminowa plastik (E23)</v>
      </c>
      <c r="E117" t="s">
        <v>2130</v>
      </c>
      <c r="F117">
        <v>0</v>
      </c>
      <c r="G117" t="s">
        <v>2140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x14ac:dyDescent="0.2">
      <c r="A118" s="255" t="str">
        <f>výpočty!$R$14</f>
        <v>Pionowy (z góry na dół)</v>
      </c>
      <c r="B118" s="256" t="str">
        <f>výpočty!$R$10</f>
        <v>Do ślimaka roletowego</v>
      </c>
      <c r="C118" t="str">
        <f>výpočty!$R$5</f>
        <v>Frame - nakładany z listwą maskującą</v>
      </c>
      <c r="D118" s="36" t="str">
        <f>výpočty!$W$7</f>
        <v>Buk (E23)</v>
      </c>
      <c r="E118" t="s">
        <v>2131</v>
      </c>
      <c r="F118">
        <v>1</v>
      </c>
      <c r="G118" s="321" t="str">
        <f>Překlady!$A$145</f>
        <v>Koloru BUK w profilu E23 nie da się łączyć z prowadzeniem FRAME.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Koloru BUK w profilu E23 nie da się łączyć z prowadzeniem FRAME.</v>
      </c>
      <c r="N118">
        <f t="shared" si="5"/>
        <v>1</v>
      </c>
    </row>
    <row r="119" spans="1:14" x14ac:dyDescent="0.2">
      <c r="A119" s="255" t="str">
        <f>výpočty!$R$14</f>
        <v>Pionowy (z góry na dół)</v>
      </c>
      <c r="B119" s="256" t="str">
        <f>výpočty!$R$10</f>
        <v>Do ślimaka roletowego</v>
      </c>
      <c r="C119" t="str">
        <f>výpočty!$R$5</f>
        <v>Frame - nakładany z listwą maskującą</v>
      </c>
      <c r="D119" s="36" t="str">
        <f>výpočty!$W$8</f>
        <v>Czereśnia (E23)</v>
      </c>
      <c r="E119" t="s">
        <v>2130</v>
      </c>
      <c r="F119">
        <v>1</v>
      </c>
      <c r="G119" t="str">
        <f>Překlady!$A$176</f>
        <v>Koloru Czereśnia w profilu E23 nie da się łączyć z prowadzeniem FRAME.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Koloru Czereśnia w profilu E23 nie da się łączyć z prowadzeniem FRAME.</v>
      </c>
      <c r="N119">
        <f t="shared" si="5"/>
        <v>1</v>
      </c>
    </row>
    <row r="120" spans="1:14" x14ac:dyDescent="0.2">
      <c r="A120" s="255" t="str">
        <f>výpočty!$R$14</f>
        <v>Pionowy (z góry na dół)</v>
      </c>
      <c r="B120" s="256" t="str">
        <f>výpočty!$R$10</f>
        <v>Do ślimaka roletowego</v>
      </c>
      <c r="C120" t="str">
        <f>výpočty!$R$5</f>
        <v>Frame - nakładany z listwą maskującą</v>
      </c>
      <c r="D120" s="36" t="str">
        <f>výpočty!$W$9</f>
        <v>Klon (E23)</v>
      </c>
      <c r="E120" t="s">
        <v>2130</v>
      </c>
      <c r="F120">
        <v>1</v>
      </c>
      <c r="G120" t="str">
        <f>Překlady!$A$177</f>
        <v>Koloru Klon w profilu E23 nie da się łączyć z prowadzeniem FRAME.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Koloru Klon w profilu E23 nie da się łączyć z prowadzeniem FRAME.</v>
      </c>
      <c r="N120">
        <f t="shared" si="5"/>
        <v>1</v>
      </c>
    </row>
    <row r="121" spans="1:14" x14ac:dyDescent="0.2">
      <c r="A121" s="255" t="str">
        <f>výpočty!$R$14</f>
        <v>Pionowy (z góry na dół)</v>
      </c>
      <c r="B121" s="256" t="str">
        <f>výpočty!$R$10</f>
        <v>Do ślimaka roletowego</v>
      </c>
      <c r="C121" t="str">
        <f>výpočty!$R$5</f>
        <v>Frame - nakładany z listwą maskującą</v>
      </c>
      <c r="D121" s="36" t="str">
        <f>výpočty!$W$10</f>
        <v>Brzoza (E23)</v>
      </c>
      <c r="E121" t="s">
        <v>2130</v>
      </c>
      <c r="F121">
        <v>1</v>
      </c>
      <c r="G121" t="str">
        <f>Překlady!$A$175</f>
        <v>Koloru Brzoza w profilu E23 nie da się łączyć z prowadzeniem FRAME.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Koloru Brzoza w profilu E23 nie da się łączyć z prowadzeniem FRAME.</v>
      </c>
      <c r="N121">
        <f t="shared" si="5"/>
        <v>1</v>
      </c>
    </row>
    <row r="122" spans="1:14" x14ac:dyDescent="0.2">
      <c r="A122" s="255" t="str">
        <f>výpočty!$R$14</f>
        <v>Pionowy (z góry na dół)</v>
      </c>
      <c r="B122" s="256" t="str">
        <f>výpočty!$R$10</f>
        <v>Do ślimaka roletowego</v>
      </c>
      <c r="C122" t="str">
        <f>výpočty!$R$5</f>
        <v>Frame - nakładany z listwą maskującą</v>
      </c>
      <c r="D122" s="36" t="str">
        <f>výpočty!$W$11</f>
        <v>Czereśnia havana (E23)</v>
      </c>
      <c r="E122" t="s">
        <v>2130</v>
      </c>
      <c r="F122">
        <v>1</v>
      </c>
      <c r="G122" t="str">
        <f>Překlady!$A$170</f>
        <v>Koloru Czereśnia havana w profilu E23 nie da się łączyć z prowadzeniem FRAME.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Koloru Czereśnia havana w profilu E23 nie da się łączyć z prowadzeniem FRAME.</v>
      </c>
      <c r="N122">
        <f t="shared" si="5"/>
        <v>1</v>
      </c>
    </row>
    <row r="123" spans="1:14" x14ac:dyDescent="0.2">
      <c r="A123" s="255" t="str">
        <f>výpočty!$R$14</f>
        <v>Pionowy (z góry na dół)</v>
      </c>
      <c r="B123" s="256" t="str">
        <f>výpočty!$R$10</f>
        <v>Do ślimaka roletowego</v>
      </c>
      <c r="C123" t="str">
        <f>výpočty!$R$5</f>
        <v>Frame - nakładany z listwą maskującą</v>
      </c>
      <c r="D123" s="36" t="str">
        <f>výpočty!$W$12</f>
        <v>Calvados (E23)</v>
      </c>
      <c r="E123" t="s">
        <v>2130</v>
      </c>
      <c r="F123">
        <v>0</v>
      </c>
      <c r="G123" t="s">
        <v>2140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x14ac:dyDescent="0.2">
      <c r="A124" s="255" t="str">
        <f>výpočty!$R$14</f>
        <v>Pionowy (z góry na dół)</v>
      </c>
      <c r="B124" s="256" t="str">
        <f>výpočty!$R$10</f>
        <v>Do ślimaka roletowego</v>
      </c>
      <c r="C124" t="str">
        <f>výpočty!$R$5</f>
        <v>Frame - nakładany z listwą maskującą</v>
      </c>
      <c r="D124" s="36" t="str">
        <f>výpočty!$W$14</f>
        <v>śnieżno biala mat (E9)</v>
      </c>
      <c r="E124" s="321" t="s">
        <v>2131</v>
      </c>
      <c r="F124" s="321">
        <v>1</v>
      </c>
      <c r="G124" s="321" t="str">
        <f>Překlady!$A$142</f>
        <v>Kolor śnieżno biały w profilu E9 można łączyć jedynie z prowadzeniem Classic i systemem nawijania do tyłu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Kolor śnieżno biały w profilu E9 można łączyć jedynie z prowadzeniem Classic i systemem nawijania do tyłu</v>
      </c>
      <c r="N124">
        <f t="shared" si="5"/>
        <v>1</v>
      </c>
    </row>
    <row r="125" spans="1:14" x14ac:dyDescent="0.2">
      <c r="A125" s="255" t="str">
        <f>výpočty!$R$14</f>
        <v>Pionowy (z góry na dół)</v>
      </c>
      <c r="B125" s="256" t="str">
        <f>výpočty!$R$10</f>
        <v>Do ślimaka roletowego</v>
      </c>
      <c r="C125" t="str">
        <f>výpočty!$R$5</f>
        <v>Frame - nakładany z listwą maskującą</v>
      </c>
      <c r="D125" s="36" t="str">
        <f>výpočty!$W$15</f>
        <v>Aluminowa plastik (E4)</v>
      </c>
      <c r="E125" t="s">
        <v>2131</v>
      </c>
      <c r="F125">
        <v>1</v>
      </c>
      <c r="G125" s="321" t="str">
        <f>Překlady!$A$143</f>
        <v>Kolor aluminium plastik w profilu E4 jest idealny do poziomych rozwiązań w kombinacji z prowadzeniem Classic z systemem nawijania do tyłu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>Kolor aluminium plastik w profilu E4 jest idealny do poziomych rozwiązań w kombinacji z prowadzeniem Classic z systemem nawijania do tyłu</v>
      </c>
      <c r="N125">
        <f t="shared" si="5"/>
        <v>1</v>
      </c>
    </row>
    <row r="126" spans="1:14" x14ac:dyDescent="0.2">
      <c r="A126" s="255" t="str">
        <f>výpočty!$R$14</f>
        <v>Pionowy (z góry na dół)</v>
      </c>
      <c r="B126" s="256" t="str">
        <f>výpočty!$R$10</f>
        <v>Do ślimaka roletowego</v>
      </c>
      <c r="C126" t="str">
        <f>výpočty!$R$5</f>
        <v>Frame - nakładany z listwą maskującą</v>
      </c>
      <c r="D126" s="36">
        <f>výpočty!$W$17</f>
        <v>0</v>
      </c>
      <c r="E126" t="s">
        <v>2130</v>
      </c>
      <c r="F126">
        <v>0</v>
      </c>
      <c r="G126" t="s">
        <v>2140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x14ac:dyDescent="0.2">
      <c r="A127" s="255" t="str">
        <f>výpočty!$R$14</f>
        <v>Pionowy (z góry na dół)</v>
      </c>
      <c r="B127" s="256" t="str">
        <f>výpočty!$R$10</f>
        <v>Do ślimaka roletowego</v>
      </c>
      <c r="C127" t="str">
        <f>výpočty!$R$5</f>
        <v>Frame - nakładany z listwą maskującą</v>
      </c>
      <c r="D127" s="36">
        <f>výpočty!$W$18</f>
        <v>0</v>
      </c>
      <c r="E127" t="s">
        <v>2130</v>
      </c>
      <c r="F127">
        <v>0</v>
      </c>
      <c r="G127" t="s">
        <v>2140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x14ac:dyDescent="0.2">
      <c r="A128" s="255" t="str">
        <f>výpočty!$R$14</f>
        <v>Pionowy (z góry na dół)</v>
      </c>
      <c r="B128" s="256" t="str">
        <f>výpočty!$R$10</f>
        <v>Do ślimaka roletowego</v>
      </c>
      <c r="C128" t="str">
        <f>výpočty!$R$5</f>
        <v>Frame - nakładany z listwą maskującą</v>
      </c>
      <c r="D128" s="36" t="str">
        <f>výpočty!$W$19</f>
        <v>Aluminium szerokość 25 mm (metallic-line)</v>
      </c>
      <c r="E128" t="s">
        <v>2130</v>
      </c>
      <c r="F128">
        <v>0</v>
      </c>
      <c r="G128" t="s">
        <v>2140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3.5" thickBot="1" x14ac:dyDescent="0.25">
      <c r="A129" s="255" t="str">
        <f>výpočty!$R$14</f>
        <v>Pionowy (z góry na dół)</v>
      </c>
      <c r="B129" s="256" t="str">
        <f>výpočty!$R$10</f>
        <v>Do ślimaka roletowego</v>
      </c>
      <c r="C129" t="str">
        <f>výpočty!$R$5</f>
        <v>Frame - nakładany z listwą maskującą</v>
      </c>
      <c r="D129" s="27" t="str">
        <f>výpočty!$W$20</f>
        <v>Nierdz. szerokość 25 mm (metallic-line)</v>
      </c>
      <c r="E129" t="s">
        <v>2130</v>
      </c>
      <c r="F129">
        <v>0</v>
      </c>
      <c r="G129" t="s">
        <v>2140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x14ac:dyDescent="0.2">
      <c r="A130" s="255" t="str">
        <f>výpočty!$R$14</f>
        <v>Pionowy (z góry na dół)</v>
      </c>
      <c r="B130" s="256" t="str">
        <f>výpočty!$R$10</f>
        <v>Do ślimaka roletowego</v>
      </c>
      <c r="C130" t="str">
        <f>výpočty!$R$6</f>
        <v>TOP - wpuszczany do przykręcenia metalowy z listwą maskującą</v>
      </c>
      <c r="D130" s="26" t="str">
        <f>výpočty!$W$3</f>
        <v>Czarny (E23)</v>
      </c>
      <c r="E130" t="s">
        <v>2130</v>
      </c>
      <c r="F130">
        <v>0</v>
      </c>
      <c r="G130" t="s">
        <v>2140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x14ac:dyDescent="0.2">
      <c r="A131" s="255" t="str">
        <f>výpočty!$R$14</f>
        <v>Pionowy (z góry na dół)</v>
      </c>
      <c r="B131" s="256" t="str">
        <f>výpočty!$R$10</f>
        <v>Do ślimaka roletowego</v>
      </c>
      <c r="C131" t="str">
        <f>výpočty!$R$6</f>
        <v>TOP - wpuszczany do przykręcenia metalowy z listwą maskującą</v>
      </c>
      <c r="D131" s="36" t="str">
        <f>výpočty!$W$4</f>
        <v>Biały (E23)</v>
      </c>
      <c r="E131" t="s">
        <v>2130</v>
      </c>
      <c r="F131">
        <v>0</v>
      </c>
      <c r="G131" t="s">
        <v>2140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x14ac:dyDescent="0.2">
      <c r="A132" s="255" t="str">
        <f>výpočty!$R$14</f>
        <v>Pionowy (z góry na dół)</v>
      </c>
      <c r="B132" s="256" t="str">
        <f>výpočty!$R$10</f>
        <v>Do ślimaka roletowego</v>
      </c>
      <c r="C132" t="str">
        <f>výpočty!$R$6</f>
        <v>TOP - wpuszczany do przykręcenia metalowy z listwą maskującą</v>
      </c>
      <c r="D132" s="36" t="str">
        <f>výpočty!$W$5</f>
        <v>Szary (E23)</v>
      </c>
      <c r="E132" t="s">
        <v>2130</v>
      </c>
      <c r="F132">
        <v>0</v>
      </c>
      <c r="G132" t="s">
        <v>2140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x14ac:dyDescent="0.2">
      <c r="A133" s="255" t="str">
        <f>výpočty!$R$14</f>
        <v>Pionowy (z góry na dół)</v>
      </c>
      <c r="B133" s="256" t="str">
        <f>výpočty!$R$10</f>
        <v>Do ślimaka roletowego</v>
      </c>
      <c r="C133" t="str">
        <f>výpočty!$R$6</f>
        <v>TOP - wpuszczany do przykręcenia metalowy z listwą maskującą</v>
      </c>
      <c r="D133" s="36" t="str">
        <f>výpočty!$W$6</f>
        <v>Aluminowa plastik (E23)</v>
      </c>
      <c r="E133" t="s">
        <v>2130</v>
      </c>
      <c r="F133">
        <v>0</v>
      </c>
      <c r="G133" t="s">
        <v>2140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x14ac:dyDescent="0.2">
      <c r="A134" s="255" t="str">
        <f>výpočty!$R$14</f>
        <v>Pionowy (z góry na dół)</v>
      </c>
      <c r="B134" s="256" t="str">
        <f>výpočty!$R$10</f>
        <v>Do ślimaka roletowego</v>
      </c>
      <c r="C134" t="str">
        <f>výpočty!$R$6</f>
        <v>TOP - wpuszczany do przykręcenia metalowy z listwą maskującą</v>
      </c>
      <c r="D134" s="36" t="str">
        <f>výpočty!$W$7</f>
        <v>Buk (E23)</v>
      </c>
      <c r="E134" t="s">
        <v>2130</v>
      </c>
      <c r="F134">
        <v>0</v>
      </c>
      <c r="G134" t="s">
        <v>2140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x14ac:dyDescent="0.2">
      <c r="A135" s="255" t="str">
        <f>výpočty!$R$14</f>
        <v>Pionowy (z góry na dół)</v>
      </c>
      <c r="B135" s="256" t="str">
        <f>výpočty!$R$10</f>
        <v>Do ślimaka roletowego</v>
      </c>
      <c r="C135" t="str">
        <f>výpočty!$R$6</f>
        <v>TOP - wpuszczany do przykręcenia metalowy z listwą maskującą</v>
      </c>
      <c r="D135" s="36" t="str">
        <f>výpočty!$W$8</f>
        <v>Czereśnia (E23)</v>
      </c>
      <c r="E135" t="s">
        <v>2130</v>
      </c>
      <c r="F135">
        <v>0</v>
      </c>
      <c r="G135" t="s">
        <v>2140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x14ac:dyDescent="0.2">
      <c r="A136" s="255" t="str">
        <f>výpočty!$R$14</f>
        <v>Pionowy (z góry na dół)</v>
      </c>
      <c r="B136" s="256" t="str">
        <f>výpočty!$R$10</f>
        <v>Do ślimaka roletowego</v>
      </c>
      <c r="C136" t="str">
        <f>výpočty!$R$6</f>
        <v>TOP - wpuszczany do przykręcenia metalowy z listwą maskującą</v>
      </c>
      <c r="D136" s="36" t="str">
        <f>výpočty!$W$9</f>
        <v>Klon (E23)</v>
      </c>
      <c r="E136" t="s">
        <v>2130</v>
      </c>
      <c r="F136">
        <v>0</v>
      </c>
      <c r="G136" t="s">
        <v>2140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x14ac:dyDescent="0.2">
      <c r="A137" s="255" t="str">
        <f>výpočty!$R$14</f>
        <v>Pionowy (z góry na dół)</v>
      </c>
      <c r="B137" s="256" t="str">
        <f>výpočty!$R$10</f>
        <v>Do ślimaka roletowego</v>
      </c>
      <c r="C137" t="str">
        <f>výpočty!$R$6</f>
        <v>TOP - wpuszczany do przykręcenia metalowy z listwą maskującą</v>
      </c>
      <c r="D137" s="36" t="str">
        <f>výpočty!$W$10</f>
        <v>Brzoza (E23)</v>
      </c>
      <c r="E137" t="s">
        <v>2130</v>
      </c>
      <c r="F137">
        <v>0</v>
      </c>
      <c r="G137" t="s">
        <v>2140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x14ac:dyDescent="0.2">
      <c r="A138" s="255" t="str">
        <f>výpočty!$R$14</f>
        <v>Pionowy (z góry na dół)</v>
      </c>
      <c r="B138" s="256" t="str">
        <f>výpočty!$R$10</f>
        <v>Do ślimaka roletowego</v>
      </c>
      <c r="C138" t="str">
        <f>výpočty!$R$6</f>
        <v>TOP - wpuszczany do przykręcenia metalowy z listwą maskującą</v>
      </c>
      <c r="D138" s="36" t="str">
        <f>výpočty!$W$11</f>
        <v>Czereśnia havana (E23)</v>
      </c>
      <c r="E138" t="s">
        <v>2130</v>
      </c>
      <c r="F138">
        <v>0</v>
      </c>
      <c r="G138" t="s">
        <v>2140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x14ac:dyDescent="0.2">
      <c r="A139" s="255" t="str">
        <f>výpočty!$R$14</f>
        <v>Pionowy (z góry na dół)</v>
      </c>
      <c r="B139" s="256" t="str">
        <f>výpočty!$R$10</f>
        <v>Do ślimaka roletowego</v>
      </c>
      <c r="C139" t="str">
        <f>výpočty!$R$6</f>
        <v>TOP - wpuszczany do przykręcenia metalowy z listwą maskującą</v>
      </c>
      <c r="D139" s="36" t="str">
        <f>výpočty!$W$12</f>
        <v>Calvados (E23)</v>
      </c>
      <c r="E139" t="s">
        <v>2130</v>
      </c>
      <c r="F139">
        <v>0</v>
      </c>
      <c r="G139" t="s">
        <v>2140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x14ac:dyDescent="0.2">
      <c r="A140" s="255" t="str">
        <f>výpočty!$R$14</f>
        <v>Pionowy (z góry na dół)</v>
      </c>
      <c r="B140" s="256" t="str">
        <f>výpočty!$R$10</f>
        <v>Do ślimaka roletowego</v>
      </c>
      <c r="C140" t="str">
        <f>výpočty!$R$6</f>
        <v>TOP - wpuszczany do przykręcenia metalowy z listwą maskującą</v>
      </c>
      <c r="D140" s="36" t="str">
        <f>výpočty!$W$14</f>
        <v>śnieżno biala mat (E9)</v>
      </c>
      <c r="E140" s="321" t="s">
        <v>2130</v>
      </c>
      <c r="F140" s="321">
        <v>0</v>
      </c>
      <c r="G140" s="321" t="s">
        <v>2140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x14ac:dyDescent="0.2">
      <c r="A141" s="255" t="str">
        <f>výpočty!$R$14</f>
        <v>Pionowy (z góry na dół)</v>
      </c>
      <c r="B141" s="256" t="str">
        <f>výpočty!$R$10</f>
        <v>Do ślimaka roletowego</v>
      </c>
      <c r="C141" t="str">
        <f>výpočty!$R$6</f>
        <v>TOP - wpuszczany do przykręcenia metalowy z listwą maskującą</v>
      </c>
      <c r="D141" s="36" t="str">
        <f>výpočty!$W$15</f>
        <v>Aluminowa plastik (E4)</v>
      </c>
      <c r="E141" t="s">
        <v>2131</v>
      </c>
      <c r="F141">
        <v>1</v>
      </c>
      <c r="G141" s="321" t="str">
        <f>Překlady!$A$143</f>
        <v>Kolor aluminium plastik w profilu E4 jest idealny do poziomych rozwiązań w kombinacji z prowadzeniem Classic z systemem nawijania do tyłu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>Kolor aluminium plastik w profilu E4 jest idealny do poziomych rozwiązań w kombinacji z prowadzeniem Classic z systemem nawijania do tyłu</v>
      </c>
      <c r="N141">
        <f t="shared" si="8"/>
        <v>1</v>
      </c>
    </row>
    <row r="142" spans="1:14" x14ac:dyDescent="0.2">
      <c r="A142" s="255" t="str">
        <f>výpočty!$R$14</f>
        <v>Pionowy (z góry na dół)</v>
      </c>
      <c r="B142" s="256" t="str">
        <f>výpočty!$R$10</f>
        <v>Do ślimaka roletowego</v>
      </c>
      <c r="C142" t="str">
        <f>výpočty!$R$6</f>
        <v>TOP - wpuszczany do przykręcenia metalowy z listwą maskującą</v>
      </c>
      <c r="D142" s="36">
        <f>výpočty!$W$17</f>
        <v>0</v>
      </c>
      <c r="E142" t="s">
        <v>2130</v>
      </c>
      <c r="F142">
        <v>0</v>
      </c>
      <c r="G142" t="s">
        <v>2140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x14ac:dyDescent="0.2">
      <c r="A143" s="255" t="str">
        <f>výpočty!$R$14</f>
        <v>Pionowy (z góry na dół)</v>
      </c>
      <c r="B143" s="256" t="str">
        <f>výpočty!$R$10</f>
        <v>Do ślimaka roletowego</v>
      </c>
      <c r="C143" t="str">
        <f>výpočty!$R$6</f>
        <v>TOP - wpuszczany do przykręcenia metalowy z listwą maskującą</v>
      </c>
      <c r="D143" s="36">
        <f>výpočty!$W$18</f>
        <v>0</v>
      </c>
      <c r="E143" t="s">
        <v>2130</v>
      </c>
      <c r="F143">
        <v>0</v>
      </c>
      <c r="G143" t="s">
        <v>2140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x14ac:dyDescent="0.2">
      <c r="A144" s="255" t="str">
        <f>výpočty!$R$14</f>
        <v>Pionowy (z góry na dół)</v>
      </c>
      <c r="B144" s="256" t="str">
        <f>výpočty!$R$10</f>
        <v>Do ślimaka roletowego</v>
      </c>
      <c r="C144" t="str">
        <f>výpočty!$R$6</f>
        <v>TOP - wpuszczany do przykręcenia metalowy z listwą maskującą</v>
      </c>
      <c r="D144" s="36" t="str">
        <f>výpočty!$W$19</f>
        <v>Aluminium szerokość 25 mm (metallic-line)</v>
      </c>
      <c r="E144" t="s">
        <v>2130</v>
      </c>
      <c r="F144">
        <v>0</v>
      </c>
      <c r="G144" t="s">
        <v>2140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3.5" thickBot="1" x14ac:dyDescent="0.25">
      <c r="A145" s="255" t="str">
        <f>výpočty!$R$14</f>
        <v>Pionowy (z góry na dół)</v>
      </c>
      <c r="B145" s="256" t="str">
        <f>výpočty!$R$10</f>
        <v>Do ślimaka roletowego</v>
      </c>
      <c r="C145" t="str">
        <f>výpočty!$R$6</f>
        <v>TOP - wpuszczany do przykręcenia metalowy z listwą maskującą</v>
      </c>
      <c r="D145" s="27" t="str">
        <f>výpočty!$W$20</f>
        <v>Nierdz. szerokość 25 mm (metallic-line)</v>
      </c>
      <c r="E145" t="s">
        <v>2130</v>
      </c>
      <c r="F145">
        <v>0</v>
      </c>
      <c r="G145" t="s">
        <v>2140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x14ac:dyDescent="0.2">
      <c r="A146" s="255" t="str">
        <f>výpočty!$R$14</f>
        <v>Pionowy (z góry na dół)</v>
      </c>
      <c r="B146" s="256" t="str">
        <f>výpočty!$R$10</f>
        <v>Do ślimaka roletowego</v>
      </c>
      <c r="C146" t="str">
        <f>výpočty!$R$7</f>
        <v>Nakładany z prowadzeniem metalic-line 29 mm i mechanimem C3</v>
      </c>
      <c r="D146" s="26" t="str">
        <f>výpočty!$W$3</f>
        <v>Czarny (E23)</v>
      </c>
      <c r="E146" t="s">
        <v>2131</v>
      </c>
      <c r="F146">
        <v>1</v>
      </c>
      <c r="G146" s="321" t="str">
        <f>Překlady!$A$146</f>
        <v>Nakładany system prowadzenia z metalic-line 29 mm i mechanizmem C3 można łączyć jedynie z systemem nawijania przez mechanike C3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>Nakładany system prowadzenia z metalic-line 29 mm i mechanizmem C3 można łączyć jedynie z systemem nawijania przez mechanike C3</v>
      </c>
      <c r="N146">
        <f t="shared" si="8"/>
        <v>1</v>
      </c>
    </row>
    <row r="147" spans="1:14" x14ac:dyDescent="0.2">
      <c r="A147" s="255" t="str">
        <f>výpočty!$R$14</f>
        <v>Pionowy (z góry na dół)</v>
      </c>
      <c r="B147" s="256" t="str">
        <f>výpočty!$R$10</f>
        <v>Do ślimaka roletowego</v>
      </c>
      <c r="C147" t="str">
        <f>výpočty!$R$7</f>
        <v>Nakładany z prowadzeniem metalic-line 29 mm i mechanimem C3</v>
      </c>
      <c r="D147" s="36" t="str">
        <f>výpočty!$W$4</f>
        <v>Biały (E23)</v>
      </c>
      <c r="E147" t="s">
        <v>2131</v>
      </c>
      <c r="F147">
        <v>1</v>
      </c>
      <c r="G147" s="321" t="str">
        <f>Překlady!$A$146</f>
        <v>Nakładany system prowadzenia z metalic-line 29 mm i mechanizmem C3 można łączyć jedynie z systemem nawijania przez mechanike C3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>Nakładany system prowadzenia z metalic-line 29 mm i mechanizmem C3 można łączyć jedynie z systemem nawijania przez mechanike C3</v>
      </c>
      <c r="N147">
        <f t="shared" si="8"/>
        <v>1</v>
      </c>
    </row>
    <row r="148" spans="1:14" x14ac:dyDescent="0.2">
      <c r="A148" s="255" t="str">
        <f>výpočty!$R$14</f>
        <v>Pionowy (z góry na dół)</v>
      </c>
      <c r="B148" s="256" t="str">
        <f>výpočty!$R$10</f>
        <v>Do ślimaka roletowego</v>
      </c>
      <c r="C148" t="str">
        <f>výpočty!$R$7</f>
        <v>Nakładany z prowadzeniem metalic-line 29 mm i mechanimem C3</v>
      </c>
      <c r="D148" s="36" t="str">
        <f>výpočty!$W$5</f>
        <v>Szary (E23)</v>
      </c>
      <c r="E148" t="s">
        <v>2131</v>
      </c>
      <c r="F148">
        <v>1</v>
      </c>
      <c r="G148" s="321" t="str">
        <f>Překlady!$A$146</f>
        <v>Nakładany system prowadzenia z metalic-line 29 mm i mechanizmem C3 można łączyć jedynie z systemem nawijania przez mechanike C3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>Nakładany system prowadzenia z metalic-line 29 mm i mechanizmem C3 można łączyć jedynie z systemem nawijania przez mechanike C3</v>
      </c>
      <c r="N148">
        <f t="shared" si="8"/>
        <v>1</v>
      </c>
    </row>
    <row r="149" spans="1:14" x14ac:dyDescent="0.2">
      <c r="A149" s="255" t="str">
        <f>výpočty!$R$14</f>
        <v>Pionowy (z góry na dół)</v>
      </c>
      <c r="B149" s="256" t="str">
        <f>výpočty!$R$10</f>
        <v>Do ślimaka roletowego</v>
      </c>
      <c r="C149" t="str">
        <f>výpočty!$R$7</f>
        <v>Nakładany z prowadzeniem metalic-line 29 mm i mechanimem C3</v>
      </c>
      <c r="D149" s="36" t="str">
        <f>výpočty!$W$6</f>
        <v>Aluminowa plastik (E23)</v>
      </c>
      <c r="E149" t="s">
        <v>2131</v>
      </c>
      <c r="F149">
        <v>1</v>
      </c>
      <c r="G149" s="321" t="str">
        <f>Překlady!$A$146</f>
        <v>Nakładany system prowadzenia z metalic-line 29 mm i mechanizmem C3 można łączyć jedynie z systemem nawijania przez mechanike C3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>Nakładany system prowadzenia z metalic-line 29 mm i mechanizmem C3 można łączyć jedynie z systemem nawijania przez mechanike C3</v>
      </c>
      <c r="N149">
        <f t="shared" si="8"/>
        <v>1</v>
      </c>
    </row>
    <row r="150" spans="1:14" x14ac:dyDescent="0.2">
      <c r="A150" s="255" t="str">
        <f>výpočty!$R$14</f>
        <v>Pionowy (z góry na dół)</v>
      </c>
      <c r="B150" s="256" t="str">
        <f>výpočty!$R$10</f>
        <v>Do ślimaka roletowego</v>
      </c>
      <c r="C150" t="str">
        <f>výpočty!$R$7</f>
        <v>Nakładany z prowadzeniem metalic-line 29 mm i mechanimem C3</v>
      </c>
      <c r="D150" s="36" t="str">
        <f>výpočty!$W$7</f>
        <v>Buk (E23)</v>
      </c>
      <c r="E150" t="s">
        <v>2131</v>
      </c>
      <c r="F150">
        <v>1</v>
      </c>
      <c r="G150" s="321" t="str">
        <f>Překlady!$A$146</f>
        <v>Nakładany system prowadzenia z metalic-line 29 mm i mechanizmem C3 można łączyć jedynie z systemem nawijania przez mechanike C3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>Nakładany system prowadzenia z metalic-line 29 mm i mechanizmem C3 można łączyć jedynie z systemem nawijania przez mechanike C3</v>
      </c>
      <c r="N150">
        <f t="shared" si="8"/>
        <v>1</v>
      </c>
    </row>
    <row r="151" spans="1:14" x14ac:dyDescent="0.2">
      <c r="A151" s="255" t="str">
        <f>výpočty!$R$14</f>
        <v>Pionowy (z góry na dół)</v>
      </c>
      <c r="B151" s="256" t="str">
        <f>výpočty!$R$10</f>
        <v>Do ślimaka roletowego</v>
      </c>
      <c r="C151" t="str">
        <f>výpočty!$R$7</f>
        <v>Nakładany z prowadzeniem metalic-line 29 mm i mechanimem C3</v>
      </c>
      <c r="D151" s="36" t="str">
        <f>výpočty!$W$8</f>
        <v>Czereśnia (E23)</v>
      </c>
      <c r="E151" t="s">
        <v>2131</v>
      </c>
      <c r="F151">
        <v>1</v>
      </c>
      <c r="G151" s="321" t="str">
        <f>Překlady!$A$146</f>
        <v>Nakładany system prowadzenia z metalic-line 29 mm i mechanizmem C3 można łączyć jedynie z systemem nawijania przez mechanike C3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>Nakładany system prowadzenia z metalic-line 29 mm i mechanizmem C3 można łączyć jedynie z systemem nawijania przez mechanike C3</v>
      </c>
      <c r="N151">
        <f t="shared" si="8"/>
        <v>1</v>
      </c>
    </row>
    <row r="152" spans="1:14" x14ac:dyDescent="0.2">
      <c r="A152" s="255" t="str">
        <f>výpočty!$R$14</f>
        <v>Pionowy (z góry na dół)</v>
      </c>
      <c r="B152" s="256" t="str">
        <f>výpočty!$R$10</f>
        <v>Do ślimaka roletowego</v>
      </c>
      <c r="C152" t="str">
        <f>výpočty!$R$7</f>
        <v>Nakładany z prowadzeniem metalic-line 29 mm i mechanimem C3</v>
      </c>
      <c r="D152" s="36" t="str">
        <f>výpočty!$W$9</f>
        <v>Klon (E23)</v>
      </c>
      <c r="E152" t="s">
        <v>2131</v>
      </c>
      <c r="F152">
        <v>1</v>
      </c>
      <c r="G152" s="321" t="str">
        <f>Překlady!$A$146</f>
        <v>Nakładany system prowadzenia z metalic-line 29 mm i mechanizmem C3 można łączyć jedynie z systemem nawijania przez mechanike C3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>Nakładany system prowadzenia z metalic-line 29 mm i mechanizmem C3 można łączyć jedynie z systemem nawijania przez mechanike C3</v>
      </c>
      <c r="N152">
        <f t="shared" si="8"/>
        <v>1</v>
      </c>
    </row>
    <row r="153" spans="1:14" x14ac:dyDescent="0.2">
      <c r="A153" s="255" t="str">
        <f>výpočty!$R$14</f>
        <v>Pionowy (z góry na dół)</v>
      </c>
      <c r="B153" s="256" t="str">
        <f>výpočty!$R$10</f>
        <v>Do ślimaka roletowego</v>
      </c>
      <c r="C153" t="str">
        <f>výpočty!$R$7</f>
        <v>Nakładany z prowadzeniem metalic-line 29 mm i mechanimem C3</v>
      </c>
      <c r="D153" s="36" t="str">
        <f>výpočty!$W$10</f>
        <v>Brzoza (E23)</v>
      </c>
      <c r="E153" t="s">
        <v>2131</v>
      </c>
      <c r="F153">
        <v>1</v>
      </c>
      <c r="G153" s="321" t="str">
        <f>Překlady!$A$146</f>
        <v>Nakładany system prowadzenia z metalic-line 29 mm i mechanizmem C3 można łączyć jedynie z systemem nawijania przez mechanike C3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>Nakładany system prowadzenia z metalic-line 29 mm i mechanizmem C3 można łączyć jedynie z systemem nawijania przez mechanike C3</v>
      </c>
      <c r="N153">
        <f t="shared" si="8"/>
        <v>1</v>
      </c>
    </row>
    <row r="154" spans="1:14" x14ac:dyDescent="0.2">
      <c r="A154" s="255" t="str">
        <f>výpočty!$R$14</f>
        <v>Pionowy (z góry na dół)</v>
      </c>
      <c r="B154" s="256" t="str">
        <f>výpočty!$R$10</f>
        <v>Do ślimaka roletowego</v>
      </c>
      <c r="C154" t="str">
        <f>výpočty!$R$7</f>
        <v>Nakładany z prowadzeniem metalic-line 29 mm i mechanimem C3</v>
      </c>
      <c r="D154" s="36" t="str">
        <f>výpočty!$W$11</f>
        <v>Czereśnia havana (E23)</v>
      </c>
      <c r="E154" t="s">
        <v>2131</v>
      </c>
      <c r="F154">
        <v>1</v>
      </c>
      <c r="G154" s="321" t="str">
        <f>Překlady!$A$146</f>
        <v>Nakładany system prowadzenia z metalic-line 29 mm i mechanizmem C3 można łączyć jedynie z systemem nawijania przez mechanike C3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>Nakładany system prowadzenia z metalic-line 29 mm i mechanizmem C3 można łączyć jedynie z systemem nawijania przez mechanike C3</v>
      </c>
      <c r="N154">
        <f t="shared" si="8"/>
        <v>1</v>
      </c>
    </row>
    <row r="155" spans="1:14" x14ac:dyDescent="0.2">
      <c r="A155" s="255" t="str">
        <f>výpočty!$R$14</f>
        <v>Pionowy (z góry na dół)</v>
      </c>
      <c r="B155" s="256" t="str">
        <f>výpočty!$R$10</f>
        <v>Do ślimaka roletowego</v>
      </c>
      <c r="C155" t="str">
        <f>výpočty!$R$7</f>
        <v>Nakładany z prowadzeniem metalic-line 29 mm i mechanimem C3</v>
      </c>
      <c r="D155" s="36" t="str">
        <f>výpočty!$W$12</f>
        <v>Calvados (E23)</v>
      </c>
      <c r="E155" t="s">
        <v>2131</v>
      </c>
      <c r="F155">
        <v>1</v>
      </c>
      <c r="G155" s="321" t="str">
        <f>Překlady!$A$146</f>
        <v>Nakładany system prowadzenia z metalic-line 29 mm i mechanizmem C3 można łączyć jedynie z systemem nawijania przez mechanike C3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>Nakładany system prowadzenia z metalic-line 29 mm i mechanizmem C3 można łączyć jedynie z systemem nawijania przez mechanike C3</v>
      </c>
      <c r="N155">
        <f t="shared" si="8"/>
        <v>1</v>
      </c>
    </row>
    <row r="156" spans="1:14" x14ac:dyDescent="0.2">
      <c r="A156" s="255" t="str">
        <f>výpočty!$R$14</f>
        <v>Pionowy (z góry na dół)</v>
      </c>
      <c r="B156" s="256" t="str">
        <f>výpočty!$R$10</f>
        <v>Do ślimaka roletowego</v>
      </c>
      <c r="C156" t="str">
        <f>výpočty!$R$7</f>
        <v>Nakładany z prowadzeniem metalic-line 29 mm i mechanimem C3</v>
      </c>
      <c r="D156" s="36" t="str">
        <f>výpočty!$W$14</f>
        <v>śnieżno biala mat (E9)</v>
      </c>
      <c r="E156" t="s">
        <v>2131</v>
      </c>
      <c r="F156">
        <v>1</v>
      </c>
      <c r="G156" s="321" t="str">
        <f>Překlady!$A$142</f>
        <v>Kolor śnieżno biały w profilu E9 można łączyć jedynie z prowadzeniem Classic i systemem nawijania do tyłu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Kolor śnieżno biały w profilu E9 można łączyć jedynie z prowadzeniem Classic i systemem nawijania do tyłu</v>
      </c>
      <c r="N156">
        <f t="shared" si="8"/>
        <v>1</v>
      </c>
    </row>
    <row r="157" spans="1:14" x14ac:dyDescent="0.2">
      <c r="A157" s="255" t="str">
        <f>výpočty!$R$14</f>
        <v>Pionowy (z góry na dół)</v>
      </c>
      <c r="B157" s="256" t="str">
        <f>výpočty!$R$10</f>
        <v>Do ślimaka roletowego</v>
      </c>
      <c r="C157" t="str">
        <f>výpočty!$R$7</f>
        <v>Nakładany z prowadzeniem metalic-line 29 mm i mechanimem C3</v>
      </c>
      <c r="D157" s="36" t="str">
        <f>výpočty!$W$15</f>
        <v>Aluminowa plastik (E4)</v>
      </c>
      <c r="E157" t="s">
        <v>2131</v>
      </c>
      <c r="F157">
        <v>1</v>
      </c>
      <c r="G157" s="321" t="str">
        <f>Překlady!$A$143</f>
        <v>Kolor aluminium plastik w profilu E4 jest idealny do poziomych rozwiązań w kombinacji z prowadzeniem Classic z systemem nawijania do tyłu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>Kolor aluminium plastik w profilu E4 jest idealny do poziomych rozwiązań w kombinacji z prowadzeniem Classic z systemem nawijania do tyłu</v>
      </c>
      <c r="N157">
        <f t="shared" si="8"/>
        <v>1</v>
      </c>
    </row>
    <row r="158" spans="1:14" x14ac:dyDescent="0.2">
      <c r="A158" s="255" t="str">
        <f>výpočty!$R$14</f>
        <v>Pionowy (z góry na dół)</v>
      </c>
      <c r="B158" s="256" t="str">
        <f>výpočty!$R$10</f>
        <v>Do ślimaka roletowego</v>
      </c>
      <c r="C158" t="str">
        <f>výpočty!$R$7</f>
        <v>Nakładany z prowadzeniem metalic-line 29 mm i mechanimem C3</v>
      </c>
      <c r="D158" s="36">
        <f>výpočty!$W$17</f>
        <v>0</v>
      </c>
      <c r="E158" t="s">
        <v>2131</v>
      </c>
      <c r="F158">
        <v>1</v>
      </c>
      <c r="G158" s="321" t="str">
        <f>Překlady!$A$146</f>
        <v>Nakładany system prowadzenia z metalic-line 29 mm i mechanizmem C3 można łączyć jedynie z systemem nawijania przez mechanike C3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>Nakładany system prowadzenia z metalic-line 29 mm i mechanizmem C3 można łączyć jedynie z systemem nawijania przez mechanike C3</v>
      </c>
      <c r="N158">
        <f t="shared" si="8"/>
        <v>1</v>
      </c>
    </row>
    <row r="159" spans="1:14" x14ac:dyDescent="0.2">
      <c r="A159" s="255" t="str">
        <f>výpočty!$R$14</f>
        <v>Pionowy (z góry na dół)</v>
      </c>
      <c r="B159" s="256" t="str">
        <f>výpočty!$R$10</f>
        <v>Do ślimaka roletowego</v>
      </c>
      <c r="C159" t="str">
        <f>výpočty!$R$7</f>
        <v>Nakładany z prowadzeniem metalic-line 29 mm i mechanimem C3</v>
      </c>
      <c r="D159" s="36">
        <f>výpočty!$W$18</f>
        <v>0</v>
      </c>
      <c r="E159" t="s">
        <v>2131</v>
      </c>
      <c r="F159">
        <v>1</v>
      </c>
      <c r="G159" s="321" t="str">
        <f>Překlady!$A$146</f>
        <v>Nakładany system prowadzenia z metalic-line 29 mm i mechanizmem C3 można łączyć jedynie z systemem nawijania przez mechanike C3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>Nakładany system prowadzenia z metalic-line 29 mm i mechanizmem C3 można łączyć jedynie z systemem nawijania przez mechanike C3</v>
      </c>
      <c r="N159">
        <f t="shared" si="8"/>
        <v>1</v>
      </c>
    </row>
    <row r="160" spans="1:14" x14ac:dyDescent="0.2">
      <c r="A160" s="255" t="str">
        <f>výpočty!$R$14</f>
        <v>Pionowy (z góry na dół)</v>
      </c>
      <c r="B160" s="256" t="str">
        <f>výpočty!$R$10</f>
        <v>Do ślimaka roletowego</v>
      </c>
      <c r="C160" t="str">
        <f>výpočty!$R$7</f>
        <v>Nakładany z prowadzeniem metalic-line 29 mm i mechanimem C3</v>
      </c>
      <c r="D160" s="36" t="str">
        <f>výpočty!$W$19</f>
        <v>Aluminium szerokość 25 mm (metallic-line)</v>
      </c>
      <c r="E160" t="s">
        <v>2131</v>
      </c>
      <c r="F160">
        <v>1</v>
      </c>
      <c r="G160" s="321" t="str">
        <f>Překlady!$A$146</f>
        <v>Nakładany system prowadzenia z metalic-line 29 mm i mechanizmem C3 można łączyć jedynie z systemem nawijania przez mechanike C3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>Nakładany system prowadzenia z metalic-line 29 mm i mechanizmem C3 można łączyć jedynie z systemem nawijania przez mechanike C3</v>
      </c>
      <c r="N160">
        <f t="shared" si="8"/>
        <v>1</v>
      </c>
    </row>
    <row r="161" spans="1:14" ht="13.5" thickBot="1" x14ac:dyDescent="0.25">
      <c r="A161" s="255" t="str">
        <f>výpočty!$R$14</f>
        <v>Pionowy (z góry na dół)</v>
      </c>
      <c r="B161" s="256" t="str">
        <f>výpočty!$R$10</f>
        <v>Do ślimaka roletowego</v>
      </c>
      <c r="C161" t="str">
        <f>výpočty!$R$7</f>
        <v>Nakładany z prowadzeniem metalic-line 29 mm i mechanimem C3</v>
      </c>
      <c r="D161" s="27" t="str">
        <f>výpočty!$W$20</f>
        <v>Nierdz. szerokość 25 mm (metallic-line)</v>
      </c>
      <c r="E161" t="s">
        <v>2131</v>
      </c>
      <c r="F161">
        <v>1</v>
      </c>
      <c r="G161" s="321" t="str">
        <f>Překlady!$A$146</f>
        <v>Nakładany system prowadzenia z metalic-line 29 mm i mechanizmem C3 można łączyć jedynie z systemem nawijania przez mechanike C3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>Nakładany system prowadzenia z metalic-line 29 mm i mechanizmem C3 można łączyć jedynie z systemem nawijania przez mechanike C3</v>
      </c>
      <c r="N161">
        <f t="shared" si="8"/>
        <v>1</v>
      </c>
    </row>
    <row r="162" spans="1:14" x14ac:dyDescent="0.2">
      <c r="A162" s="255" t="str">
        <f>výpočty!$R$14</f>
        <v>Pionowy (z góry na dół)</v>
      </c>
      <c r="B162" t="str">
        <f>výpočty!$R$11</f>
        <v>Z mecjanizmem C3</v>
      </c>
      <c r="C162" t="str">
        <f>výpočty!$R$3</f>
        <v>TOP Basic - wpuszczany do przykręcenia plastikowy</v>
      </c>
      <c r="D162" s="26" t="str">
        <f>výpočty!$W$3</f>
        <v>Czarny (E23)</v>
      </c>
      <c r="E162" s="321" t="s">
        <v>2130</v>
      </c>
      <c r="F162">
        <v>2</v>
      </c>
      <c r="G162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2">
        <f t="shared" si="8"/>
        <v>2</v>
      </c>
    </row>
    <row r="163" spans="1:14" x14ac:dyDescent="0.2">
      <c r="A163" s="255" t="str">
        <f>výpočty!$R$14</f>
        <v>Pionowy (z góry na dół)</v>
      </c>
      <c r="B163" t="str">
        <f>výpočty!$R$11</f>
        <v>Z mecjanizmem C3</v>
      </c>
      <c r="C163" t="str">
        <f>výpočty!$R$3</f>
        <v>TOP Basic - wpuszczany do przykręcenia plastikowy</v>
      </c>
      <c r="D163" s="36" t="str">
        <f>výpočty!$W$4</f>
        <v>Biały (E23)</v>
      </c>
      <c r="E163" s="321" t="s">
        <v>2130</v>
      </c>
      <c r="F163">
        <v>2</v>
      </c>
      <c r="G163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3">
        <f t="shared" si="8"/>
        <v>2</v>
      </c>
    </row>
    <row r="164" spans="1:14" x14ac:dyDescent="0.2">
      <c r="A164" s="255" t="str">
        <f>výpočty!$R$14</f>
        <v>Pionowy (z góry na dół)</v>
      </c>
      <c r="B164" t="str">
        <f>výpočty!$R$11</f>
        <v>Z mecjanizmem C3</v>
      </c>
      <c r="C164" t="str">
        <f>výpočty!$R$3</f>
        <v>TOP Basic - wpuszczany do przykręcenia plastikowy</v>
      </c>
      <c r="D164" s="36" t="str">
        <f>výpočty!$W$5</f>
        <v>Szary (E23)</v>
      </c>
      <c r="E164" s="321" t="s">
        <v>2130</v>
      </c>
      <c r="F164">
        <v>2</v>
      </c>
      <c r="G164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4">
        <f t="shared" si="8"/>
        <v>2</v>
      </c>
    </row>
    <row r="165" spans="1:14" x14ac:dyDescent="0.2">
      <c r="A165" s="255" t="str">
        <f>výpočty!$R$14</f>
        <v>Pionowy (z góry na dół)</v>
      </c>
      <c r="B165" t="str">
        <f>výpočty!$R$11</f>
        <v>Z mecjanizmem C3</v>
      </c>
      <c r="C165" t="str">
        <f>výpočty!$R$3</f>
        <v>TOP Basic - wpuszczany do przykręcenia plastikowy</v>
      </c>
      <c r="D165" s="36" t="str">
        <f>výpočty!$W$6</f>
        <v>Aluminowa plastik (E23)</v>
      </c>
      <c r="E165" s="321" t="s">
        <v>2130</v>
      </c>
      <c r="F165">
        <v>2</v>
      </c>
      <c r="G165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5">
        <f t="shared" si="8"/>
        <v>2</v>
      </c>
    </row>
    <row r="166" spans="1:14" x14ac:dyDescent="0.2">
      <c r="A166" s="255" t="str">
        <f>výpočty!$R$14</f>
        <v>Pionowy (z góry na dół)</v>
      </c>
      <c r="B166" t="str">
        <f>výpočty!$R$11</f>
        <v>Z mecjanizmem C3</v>
      </c>
      <c r="C166" t="str">
        <f>výpočty!$R$3</f>
        <v>TOP Basic - wpuszczany do przykręcenia plastikowy</v>
      </c>
      <c r="D166" s="36" t="str">
        <f>výpočty!$W$7</f>
        <v>Buk (E23)</v>
      </c>
      <c r="E166" s="321" t="s">
        <v>2130</v>
      </c>
      <c r="F166">
        <v>2</v>
      </c>
      <c r="G166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6">
        <f t="shared" si="8"/>
        <v>2</v>
      </c>
    </row>
    <row r="167" spans="1:14" x14ac:dyDescent="0.2">
      <c r="A167" s="255" t="str">
        <f>výpočty!$R$14</f>
        <v>Pionowy (z góry na dół)</v>
      </c>
      <c r="B167" t="str">
        <f>výpočty!$R$11</f>
        <v>Z mecjanizmem C3</v>
      </c>
      <c r="C167" t="str">
        <f>výpočty!$R$3</f>
        <v>TOP Basic - wpuszczany do przykręcenia plastikowy</v>
      </c>
      <c r="D167" s="36" t="str">
        <f>výpočty!$W$8</f>
        <v>Czereśnia (E23)</v>
      </c>
      <c r="E167" s="321" t="s">
        <v>2130</v>
      </c>
      <c r="F167">
        <v>2</v>
      </c>
      <c r="G167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7">
        <f t="shared" si="8"/>
        <v>2</v>
      </c>
    </row>
    <row r="168" spans="1:14" x14ac:dyDescent="0.2">
      <c r="A168" s="255" t="str">
        <f>výpočty!$R$14</f>
        <v>Pionowy (z góry na dół)</v>
      </c>
      <c r="B168" t="str">
        <f>výpočty!$R$11</f>
        <v>Z mecjanizmem C3</v>
      </c>
      <c r="C168" t="str">
        <f>výpočty!$R$3</f>
        <v>TOP Basic - wpuszczany do przykręcenia plastikowy</v>
      </c>
      <c r="D168" s="36" t="str">
        <f>výpočty!$W$9</f>
        <v>Klon (E23)</v>
      </c>
      <c r="E168" s="321" t="s">
        <v>2130</v>
      </c>
      <c r="F168">
        <v>2</v>
      </c>
      <c r="G168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8">
        <f t="shared" si="8"/>
        <v>2</v>
      </c>
    </row>
    <row r="169" spans="1:14" x14ac:dyDescent="0.2">
      <c r="A169" s="255" t="str">
        <f>výpočty!$R$14</f>
        <v>Pionowy (z góry na dół)</v>
      </c>
      <c r="B169" t="str">
        <f>výpočty!$R$11</f>
        <v>Z mecjanizmem C3</v>
      </c>
      <c r="C169" t="str">
        <f>výpočty!$R$3</f>
        <v>TOP Basic - wpuszczany do przykręcenia plastikowy</v>
      </c>
      <c r="D169" s="36" t="str">
        <f>výpočty!$W$10</f>
        <v>Brzoza (E23)</v>
      </c>
      <c r="E169" s="321" t="s">
        <v>2130</v>
      </c>
      <c r="F169">
        <v>2</v>
      </c>
      <c r="G169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9">
        <f t="shared" si="8"/>
        <v>2</v>
      </c>
    </row>
    <row r="170" spans="1:14" x14ac:dyDescent="0.2">
      <c r="A170" s="255" t="str">
        <f>výpočty!$R$14</f>
        <v>Pionowy (z góry na dół)</v>
      </c>
      <c r="B170" t="str">
        <f>výpočty!$R$11</f>
        <v>Z mecjanizmem C3</v>
      </c>
      <c r="C170" t="str">
        <f>výpočty!$R$3</f>
        <v>TOP Basic - wpuszczany do przykręcenia plastikowy</v>
      </c>
      <c r="D170" s="36" t="str">
        <f>výpočty!$W$11</f>
        <v>Czereśnia havana (E23)</v>
      </c>
      <c r="E170" s="321" t="s">
        <v>2130</v>
      </c>
      <c r="F170">
        <v>2</v>
      </c>
      <c r="G170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0">
        <f t="shared" si="8"/>
        <v>2</v>
      </c>
    </row>
    <row r="171" spans="1:14" x14ac:dyDescent="0.2">
      <c r="A171" s="255" t="str">
        <f>výpočty!$R$14</f>
        <v>Pionowy (z góry na dół)</v>
      </c>
      <c r="B171" t="str">
        <f>výpočty!$R$11</f>
        <v>Z mecjanizmem C3</v>
      </c>
      <c r="C171" t="str">
        <f>výpočty!$R$3</f>
        <v>TOP Basic - wpuszczany do przykręcenia plastikowy</v>
      </c>
      <c r="D171" s="36" t="str">
        <f>výpočty!$W$12</f>
        <v>Calvados (E23)</v>
      </c>
      <c r="E171" s="321" t="s">
        <v>2130</v>
      </c>
      <c r="F171">
        <v>2</v>
      </c>
      <c r="G171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1">
        <f t="shared" si="8"/>
        <v>2</v>
      </c>
    </row>
    <row r="172" spans="1:14" x14ac:dyDescent="0.2">
      <c r="A172" s="255" t="str">
        <f>výpočty!$R$14</f>
        <v>Pionowy (z góry na dół)</v>
      </c>
      <c r="B172" t="str">
        <f>výpočty!$R$11</f>
        <v>Z mecjanizmem C3</v>
      </c>
      <c r="C172" t="str">
        <f>výpočty!$R$3</f>
        <v>TOP Basic - wpuszczany do przykręcenia plastikowy</v>
      </c>
      <c r="D172" s="36" t="str">
        <f>výpočty!$W$14</f>
        <v>śnieżno biala mat (E9)</v>
      </c>
      <c r="E172" t="s">
        <v>2131</v>
      </c>
      <c r="F172">
        <v>1</v>
      </c>
      <c r="G172" s="321" t="str">
        <f>Překlady!$A$142</f>
        <v>Kolor śnieżno biały w profilu E9 można łączyć jedynie z prowadzeniem Classic i systemem nawijania do tyłu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Kolor śnieżno biały w profilu E9 można łączyć jedynie z prowadzeniem Classic i systemem nawijania do tyłu</v>
      </c>
      <c r="N172">
        <f t="shared" si="8"/>
        <v>1</v>
      </c>
    </row>
    <row r="173" spans="1:14" x14ac:dyDescent="0.2">
      <c r="A173" s="255" t="str">
        <f>výpočty!$R$14</f>
        <v>Pionowy (z góry na dół)</v>
      </c>
      <c r="B173" t="str">
        <f>výpočty!$R$11</f>
        <v>Z mecjanizmem C3</v>
      </c>
      <c r="C173" t="str">
        <f>výpočty!$R$3</f>
        <v>TOP Basic - wpuszczany do przykręcenia plastikowy</v>
      </c>
      <c r="D173" s="36" t="str">
        <f>výpočty!$W$15</f>
        <v>Aluminowa plastik (E4)</v>
      </c>
      <c r="E173" t="s">
        <v>2131</v>
      </c>
      <c r="F173">
        <v>1</v>
      </c>
      <c r="G173" s="321" t="str">
        <f>Překlady!$A$143</f>
        <v>Kolor aluminium plastik w profilu E4 jest idealny do poziomych rozwiązań w kombinacji z prowadzeniem Classic z systemem nawijania do tyłu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>Kolor aluminium plastik w profilu E4 jest idealny do poziomych rozwiązań w kombinacji z prowadzeniem Classic z systemem nawijania do tyłu</v>
      </c>
      <c r="N173">
        <f t="shared" si="8"/>
        <v>1</v>
      </c>
    </row>
    <row r="174" spans="1:14" x14ac:dyDescent="0.2">
      <c r="A174" s="255" t="str">
        <f>výpočty!$R$14</f>
        <v>Pionowy (z góry na dół)</v>
      </c>
      <c r="B174" t="str">
        <f>výpočty!$R$11</f>
        <v>Z mecjanizmem C3</v>
      </c>
      <c r="C174" t="str">
        <f>výpočty!$R$3</f>
        <v>TOP Basic - wpuszczany do przykręcenia plastikowy</v>
      </c>
      <c r="D174" s="36">
        <f>výpočty!$W$17</f>
        <v>0</v>
      </c>
      <c r="E174" t="s">
        <v>2131</v>
      </c>
      <c r="F174">
        <v>1</v>
      </c>
      <c r="G174" s="321" t="str">
        <f>Překlady!$A$144</f>
        <v>Systemu prowadzenia TOP BASIC nie da się zastosować z roletowym profilem Metallic line. Należy wybrać wersję TOP.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Systemu prowadzenia TOP BASIC nie da się zastosować z roletowym profilem Metallic line. Należy wybrać wersję TOP.</v>
      </c>
      <c r="N174">
        <f t="shared" si="8"/>
        <v>1</v>
      </c>
    </row>
    <row r="175" spans="1:14" x14ac:dyDescent="0.2">
      <c r="A175" s="255" t="str">
        <f>výpočty!$R$14</f>
        <v>Pionowy (z góry na dół)</v>
      </c>
      <c r="B175" t="str">
        <f>výpočty!$R$11</f>
        <v>Z mecjanizmem C3</v>
      </c>
      <c r="C175" t="str">
        <f>výpočty!$R$3</f>
        <v>TOP Basic - wpuszczany do przykręcenia plastikowy</v>
      </c>
      <c r="D175" s="36">
        <f>výpočty!$W$18</f>
        <v>0</v>
      </c>
      <c r="E175" t="s">
        <v>2131</v>
      </c>
      <c r="F175">
        <v>1</v>
      </c>
      <c r="G175" s="321" t="str">
        <f>Překlady!$A$144</f>
        <v>Systemu prowadzenia TOP BASIC nie da się zastosować z roletowym profilem Metallic line. Należy wybrać wersję TOP.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Systemu prowadzenia TOP BASIC nie da się zastosować z roletowym profilem Metallic line. Należy wybrać wersję TOP.</v>
      </c>
      <c r="N175">
        <f t="shared" si="8"/>
        <v>1</v>
      </c>
    </row>
    <row r="176" spans="1:14" x14ac:dyDescent="0.2">
      <c r="A176" s="255" t="str">
        <f>výpočty!$R$14</f>
        <v>Pionowy (z góry na dół)</v>
      </c>
      <c r="B176" t="str">
        <f>výpočty!$R$11</f>
        <v>Z mecjanizmem C3</v>
      </c>
      <c r="C176" t="str">
        <f>výpočty!$R$3</f>
        <v>TOP Basic - wpuszczany do przykręcenia plastikowy</v>
      </c>
      <c r="D176" s="36" t="str">
        <f>výpočty!$W$19</f>
        <v>Aluminium szerokość 25 mm (metallic-line)</v>
      </c>
      <c r="E176" t="s">
        <v>2131</v>
      </c>
      <c r="F176">
        <v>1</v>
      </c>
      <c r="G176" s="321" t="str">
        <f>Překlady!$A$144</f>
        <v>Systemu prowadzenia TOP BASIC nie da się zastosować z roletowym profilem Metallic line. Należy wybrać wersję TOP.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Systemu prowadzenia TOP BASIC nie da się zastosować z roletowym profilem Metallic line. Należy wybrać wersję TOP.</v>
      </c>
      <c r="N176">
        <f t="shared" si="8"/>
        <v>1</v>
      </c>
    </row>
    <row r="177" spans="1:14" ht="13.5" thickBot="1" x14ac:dyDescent="0.25">
      <c r="A177" s="255" t="str">
        <f>výpočty!$R$14</f>
        <v>Pionowy (z góry na dół)</v>
      </c>
      <c r="B177" t="str">
        <f>výpočty!$R$11</f>
        <v>Z mecjanizmem C3</v>
      </c>
      <c r="C177" t="str">
        <f>výpočty!$R$3</f>
        <v>TOP Basic - wpuszczany do przykręcenia plastikowy</v>
      </c>
      <c r="D177" s="27" t="str">
        <f>výpočty!$W$20</f>
        <v>Nierdz. szerokość 25 mm (metallic-line)</v>
      </c>
      <c r="E177" t="s">
        <v>2131</v>
      </c>
      <c r="F177">
        <v>1</v>
      </c>
      <c r="G177" s="321" t="str">
        <f>Překlady!$A$144</f>
        <v>Systemu prowadzenia TOP BASIC nie da się zastosować z roletowym profilem Metallic line. Należy wybrać wersję TOP.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Systemu prowadzenia TOP BASIC nie da się zastosować z roletowym profilem Metallic line. Należy wybrać wersję TOP.</v>
      </c>
      <c r="N177">
        <f t="shared" si="8"/>
        <v>1</v>
      </c>
    </row>
    <row r="178" spans="1:14" x14ac:dyDescent="0.2">
      <c r="A178" s="255" t="str">
        <f>výpočty!$R$14</f>
        <v>Pionowy (z góry na dół)</v>
      </c>
      <c r="B178" t="str">
        <f>výpočty!$R$11</f>
        <v>Z mecjanizmem C3</v>
      </c>
      <c r="C178" t="str">
        <f>výpočty!$R$4</f>
        <v>Classic - wpuszczany do zafrezowania</v>
      </c>
      <c r="D178" s="26" t="str">
        <f>výpočty!$W$3</f>
        <v>Czarny (E23)</v>
      </c>
      <c r="E178" t="s">
        <v>2131</v>
      </c>
      <c r="F178">
        <v>1</v>
      </c>
      <c r="G178" t="str">
        <f>Překlady!$A$150</f>
        <v>Systemu nawijania na mechanizm C3 nie można łączyć z prowadzeniem Classic, zalecamy wybrać inny system nawijania.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Systemu nawijania na mechanizm C3 nie można łączyć z prowadzeniem Classic, zalecamy wybrać inny system nawijania.</v>
      </c>
      <c r="N178">
        <f t="shared" si="8"/>
        <v>1</v>
      </c>
    </row>
    <row r="179" spans="1:14" x14ac:dyDescent="0.2">
      <c r="A179" s="255" t="str">
        <f>výpočty!$R$14</f>
        <v>Pionowy (z góry na dół)</v>
      </c>
      <c r="B179" t="str">
        <f>výpočty!$R$11</f>
        <v>Z mecjanizmem C3</v>
      </c>
      <c r="C179" t="str">
        <f>výpočty!$R$4</f>
        <v>Classic - wpuszczany do zafrezowania</v>
      </c>
      <c r="D179" s="36" t="str">
        <f>výpočty!$W$4</f>
        <v>Biały (E23)</v>
      </c>
      <c r="E179" t="s">
        <v>2131</v>
      </c>
      <c r="F179">
        <v>1</v>
      </c>
      <c r="G179" t="str">
        <f>Překlady!$A$150</f>
        <v>Systemu nawijania na mechanizm C3 nie można łączyć z prowadzeniem Classic, zalecamy wybrać inny system nawijania.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Systemu nawijania na mechanizm C3 nie można łączyć z prowadzeniem Classic, zalecamy wybrać inny system nawijania.</v>
      </c>
      <c r="N179">
        <f t="shared" si="8"/>
        <v>1</v>
      </c>
    </row>
    <row r="180" spans="1:14" x14ac:dyDescent="0.2">
      <c r="A180" s="255" t="str">
        <f>výpočty!$R$14</f>
        <v>Pionowy (z góry na dół)</v>
      </c>
      <c r="B180" t="str">
        <f>výpočty!$R$11</f>
        <v>Z mecjanizmem C3</v>
      </c>
      <c r="C180" t="str">
        <f>výpočty!$R$4</f>
        <v>Classic - wpuszczany do zafrezowania</v>
      </c>
      <c r="D180" s="36" t="str">
        <f>výpočty!$W$5</f>
        <v>Szary (E23)</v>
      </c>
      <c r="E180" t="s">
        <v>2131</v>
      </c>
      <c r="F180">
        <v>1</v>
      </c>
      <c r="G180" t="str">
        <f>Překlady!$A$150</f>
        <v>Systemu nawijania na mechanizm C3 nie można łączyć z prowadzeniem Classic, zalecamy wybrać inny system nawijania.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Systemu nawijania na mechanizm C3 nie można łączyć z prowadzeniem Classic, zalecamy wybrać inny system nawijania.</v>
      </c>
      <c r="N180">
        <f t="shared" si="8"/>
        <v>1</v>
      </c>
    </row>
    <row r="181" spans="1:14" x14ac:dyDescent="0.2">
      <c r="A181" s="255" t="str">
        <f>výpočty!$R$14</f>
        <v>Pionowy (z góry na dół)</v>
      </c>
      <c r="B181" t="str">
        <f>výpočty!$R$11</f>
        <v>Z mecjanizmem C3</v>
      </c>
      <c r="C181" t="str">
        <f>výpočty!$R$4</f>
        <v>Classic - wpuszczany do zafrezowania</v>
      </c>
      <c r="D181" s="36" t="str">
        <f>výpočty!$W$6</f>
        <v>Aluminowa plastik (E23)</v>
      </c>
      <c r="E181" t="s">
        <v>2131</v>
      </c>
      <c r="F181">
        <v>1</v>
      </c>
      <c r="G181" t="str">
        <f>Překlady!$A$150</f>
        <v>Systemu nawijania na mechanizm C3 nie można łączyć z prowadzeniem Classic, zalecamy wybrać inny system nawijania.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Systemu nawijania na mechanizm C3 nie można łączyć z prowadzeniem Classic, zalecamy wybrać inny system nawijania.</v>
      </c>
      <c r="N181">
        <f t="shared" si="8"/>
        <v>1</v>
      </c>
    </row>
    <row r="182" spans="1:14" x14ac:dyDescent="0.2">
      <c r="A182" s="255" t="str">
        <f>výpočty!$R$14</f>
        <v>Pionowy (z góry na dół)</v>
      </c>
      <c r="B182" t="str">
        <f>výpočty!$R$11</f>
        <v>Z mecjanizmem C3</v>
      </c>
      <c r="C182" t="str">
        <f>výpočty!$R$4</f>
        <v>Classic - wpuszczany do zafrezowania</v>
      </c>
      <c r="D182" s="36" t="str">
        <f>výpočty!$W$7</f>
        <v>Buk (E23)</v>
      </c>
      <c r="E182" t="s">
        <v>2131</v>
      </c>
      <c r="F182">
        <v>1</v>
      </c>
      <c r="G182" t="str">
        <f>Překlady!$A$150</f>
        <v>Systemu nawijania na mechanizm C3 nie można łączyć z prowadzeniem Classic, zalecamy wybrać inny system nawijania.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Systemu nawijania na mechanizm C3 nie można łączyć z prowadzeniem Classic, zalecamy wybrać inny system nawijania.</v>
      </c>
      <c r="N182">
        <f t="shared" si="8"/>
        <v>1</v>
      </c>
    </row>
    <row r="183" spans="1:14" x14ac:dyDescent="0.2">
      <c r="A183" s="255" t="str">
        <f>výpočty!$R$14</f>
        <v>Pionowy (z góry na dół)</v>
      </c>
      <c r="B183" t="str">
        <f>výpočty!$R$11</f>
        <v>Z mecjanizmem C3</v>
      </c>
      <c r="C183" t="str">
        <f>výpočty!$R$4</f>
        <v>Classic - wpuszczany do zafrezowania</v>
      </c>
      <c r="D183" s="36" t="str">
        <f>výpočty!$W$8</f>
        <v>Czereśnia (E23)</v>
      </c>
      <c r="E183" t="s">
        <v>2131</v>
      </c>
      <c r="F183">
        <v>1</v>
      </c>
      <c r="G183" t="str">
        <f>Překlady!$A$150</f>
        <v>Systemu nawijania na mechanizm C3 nie można łączyć z prowadzeniem Classic, zalecamy wybrać inny system nawijania.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Systemu nawijania na mechanizm C3 nie można łączyć z prowadzeniem Classic, zalecamy wybrać inny system nawijania.</v>
      </c>
      <c r="N183">
        <f t="shared" si="8"/>
        <v>1</v>
      </c>
    </row>
    <row r="184" spans="1:14" x14ac:dyDescent="0.2">
      <c r="A184" s="255" t="str">
        <f>výpočty!$R$14</f>
        <v>Pionowy (z góry na dół)</v>
      </c>
      <c r="B184" t="str">
        <f>výpočty!$R$11</f>
        <v>Z mecjanizmem C3</v>
      </c>
      <c r="C184" t="str">
        <f>výpočty!$R$4</f>
        <v>Classic - wpuszczany do zafrezowania</v>
      </c>
      <c r="D184" s="36" t="str">
        <f>výpočty!$W$9</f>
        <v>Klon (E23)</v>
      </c>
      <c r="E184" t="s">
        <v>2131</v>
      </c>
      <c r="F184">
        <v>1</v>
      </c>
      <c r="G184" t="str">
        <f>Překlady!$A$150</f>
        <v>Systemu nawijania na mechanizm C3 nie można łączyć z prowadzeniem Classic, zalecamy wybrać inny system nawijania.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Systemu nawijania na mechanizm C3 nie można łączyć z prowadzeniem Classic, zalecamy wybrać inny system nawijania.</v>
      </c>
      <c r="N184">
        <f t="shared" si="8"/>
        <v>1</v>
      </c>
    </row>
    <row r="185" spans="1:14" x14ac:dyDescent="0.2">
      <c r="A185" s="255" t="str">
        <f>výpočty!$R$14</f>
        <v>Pionowy (z góry na dół)</v>
      </c>
      <c r="B185" t="str">
        <f>výpočty!$R$11</f>
        <v>Z mecjanizmem C3</v>
      </c>
      <c r="C185" t="str">
        <f>výpočty!$R$4</f>
        <v>Classic - wpuszczany do zafrezowania</v>
      </c>
      <c r="D185" s="36" t="str">
        <f>výpočty!$W$10</f>
        <v>Brzoza (E23)</v>
      </c>
      <c r="E185" t="s">
        <v>2131</v>
      </c>
      <c r="F185">
        <v>1</v>
      </c>
      <c r="G185" t="str">
        <f>Překlady!$A$150</f>
        <v>Systemu nawijania na mechanizm C3 nie można łączyć z prowadzeniem Classic, zalecamy wybrać inny system nawijania.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Systemu nawijania na mechanizm C3 nie można łączyć z prowadzeniem Classic, zalecamy wybrać inny system nawijania.</v>
      </c>
      <c r="N185">
        <f t="shared" si="8"/>
        <v>1</v>
      </c>
    </row>
    <row r="186" spans="1:14" x14ac:dyDescent="0.2">
      <c r="A186" s="255" t="str">
        <f>výpočty!$R$14</f>
        <v>Pionowy (z góry na dół)</v>
      </c>
      <c r="B186" t="str">
        <f>výpočty!$R$11</f>
        <v>Z mecjanizmem C3</v>
      </c>
      <c r="C186" t="str">
        <f>výpočty!$R$4</f>
        <v>Classic - wpuszczany do zafrezowania</v>
      </c>
      <c r="D186" s="36" t="str">
        <f>výpočty!$W$11</f>
        <v>Czereśnia havana (E23)</v>
      </c>
      <c r="E186" t="s">
        <v>2131</v>
      </c>
      <c r="F186">
        <v>1</v>
      </c>
      <c r="G186" t="str">
        <f>Překlady!$A$150</f>
        <v>Systemu nawijania na mechanizm C3 nie można łączyć z prowadzeniem Classic, zalecamy wybrać inny system nawijania.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Systemu nawijania na mechanizm C3 nie można łączyć z prowadzeniem Classic, zalecamy wybrać inny system nawijania.</v>
      </c>
      <c r="N186">
        <f t="shared" si="8"/>
        <v>1</v>
      </c>
    </row>
    <row r="187" spans="1:14" x14ac:dyDescent="0.2">
      <c r="A187" s="255" t="str">
        <f>výpočty!$R$14</f>
        <v>Pionowy (z góry na dół)</v>
      </c>
      <c r="B187" t="str">
        <f>výpočty!$R$11</f>
        <v>Z mecjanizmem C3</v>
      </c>
      <c r="C187" t="str">
        <f>výpočty!$R$4</f>
        <v>Classic - wpuszczany do zafrezowania</v>
      </c>
      <c r="D187" s="36" t="str">
        <f>výpočty!$W$12</f>
        <v>Calvados (E23)</v>
      </c>
      <c r="E187" t="s">
        <v>2131</v>
      </c>
      <c r="F187">
        <v>1</v>
      </c>
      <c r="G187" t="str">
        <f>Překlady!$A$150</f>
        <v>Systemu nawijania na mechanizm C3 nie można łączyć z prowadzeniem Classic, zalecamy wybrać inny system nawijania.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Systemu nawijania na mechanizm C3 nie można łączyć z prowadzeniem Classic, zalecamy wybrać inny system nawijania.</v>
      </c>
      <c r="N187">
        <f t="shared" si="8"/>
        <v>1</v>
      </c>
    </row>
    <row r="188" spans="1:14" x14ac:dyDescent="0.2">
      <c r="A188" s="255" t="str">
        <f>výpočty!$R$14</f>
        <v>Pionowy (z góry na dół)</v>
      </c>
      <c r="B188" t="str">
        <f>výpočty!$R$11</f>
        <v>Z mecjanizmem C3</v>
      </c>
      <c r="C188" t="str">
        <f>výpočty!$R$4</f>
        <v>Classic - wpuszczany do zafrezowania</v>
      </c>
      <c r="D188" s="36" t="str">
        <f>výpočty!$W$14</f>
        <v>śnieżno biala mat (E9)</v>
      </c>
      <c r="E188" t="s">
        <v>2131</v>
      </c>
      <c r="F188">
        <v>1</v>
      </c>
      <c r="G188" t="str">
        <f>Překlady!$A$150</f>
        <v>Systemu nawijania na mechanizm C3 nie można łączyć z prowadzeniem Classic, zalecamy wybrać inny system nawijania.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Systemu nawijania na mechanizm C3 nie można łączyć z prowadzeniem Classic, zalecamy wybrać inny system nawijania.</v>
      </c>
      <c r="N188">
        <f t="shared" si="8"/>
        <v>1</v>
      </c>
    </row>
    <row r="189" spans="1:14" x14ac:dyDescent="0.2">
      <c r="A189" s="255" t="str">
        <f>výpočty!$R$14</f>
        <v>Pionowy (z góry na dół)</v>
      </c>
      <c r="B189" t="str">
        <f>výpočty!$R$11</f>
        <v>Z mecjanizmem C3</v>
      </c>
      <c r="C189" t="str">
        <f>výpočty!$R$4</f>
        <v>Classic - wpuszczany do zafrezowania</v>
      </c>
      <c r="D189" s="36" t="str">
        <f>výpočty!$W$15</f>
        <v>Aluminowa plastik (E4)</v>
      </c>
      <c r="E189" t="s">
        <v>2131</v>
      </c>
      <c r="F189">
        <v>1</v>
      </c>
      <c r="G189" s="321" t="str">
        <f>Překlady!$A$143</f>
        <v>Kolor aluminium plastik w profilu E4 jest idealny do poziomych rozwiązań w kombinacji z prowadzeniem Classic z systemem nawijania do tyłu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>Kolor aluminium plastik w profilu E4 jest idealny do poziomych rozwiązań w kombinacji z prowadzeniem Classic z systemem nawijania do tyłu</v>
      </c>
      <c r="N189">
        <f t="shared" si="8"/>
        <v>1</v>
      </c>
    </row>
    <row r="190" spans="1:14" x14ac:dyDescent="0.2">
      <c r="A190" s="255" t="str">
        <f>výpočty!$R$14</f>
        <v>Pionowy (z góry na dół)</v>
      </c>
      <c r="B190" t="str">
        <f>výpočty!$R$11</f>
        <v>Z mecjanizmem C3</v>
      </c>
      <c r="C190" t="str">
        <f>výpočty!$R$4</f>
        <v>Classic - wpuszczany do zafrezowania</v>
      </c>
      <c r="D190" s="36">
        <f>výpočty!$W$17</f>
        <v>0</v>
      </c>
      <c r="E190" t="s">
        <v>2131</v>
      </c>
      <c r="F190">
        <v>1</v>
      </c>
      <c r="G190" t="str">
        <f>Překlady!$A$150</f>
        <v>Systemu nawijania na mechanizm C3 nie można łączyć z prowadzeniem Classic, zalecamy wybrać inny system nawijania.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Systemu nawijania na mechanizm C3 nie można łączyć z prowadzeniem Classic, zalecamy wybrać inny system nawijania.</v>
      </c>
      <c r="N190">
        <f t="shared" si="8"/>
        <v>1</v>
      </c>
    </row>
    <row r="191" spans="1:14" x14ac:dyDescent="0.2">
      <c r="A191" s="255" t="str">
        <f>výpočty!$R$14</f>
        <v>Pionowy (z góry na dół)</v>
      </c>
      <c r="B191" t="str">
        <f>výpočty!$R$11</f>
        <v>Z mecjanizmem C3</v>
      </c>
      <c r="C191" t="str">
        <f>výpočty!$R$4</f>
        <v>Classic - wpuszczany do zafrezowania</v>
      </c>
      <c r="D191" s="36">
        <f>výpočty!$W$18</f>
        <v>0</v>
      </c>
      <c r="E191" t="s">
        <v>2131</v>
      </c>
      <c r="F191">
        <v>1</v>
      </c>
      <c r="G191" t="str">
        <f>Překlady!$A$150</f>
        <v>Systemu nawijania na mechanizm C3 nie można łączyć z prowadzeniem Classic, zalecamy wybrać inny system nawijania.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Systemu nawijania na mechanizm C3 nie można łączyć z prowadzeniem Classic, zalecamy wybrać inny system nawijania.</v>
      </c>
      <c r="N191">
        <f t="shared" si="8"/>
        <v>1</v>
      </c>
    </row>
    <row r="192" spans="1:14" x14ac:dyDescent="0.2">
      <c r="A192" s="255" t="str">
        <f>výpočty!$R$14</f>
        <v>Pionowy (z góry na dół)</v>
      </c>
      <c r="B192" t="str">
        <f>výpočty!$R$11</f>
        <v>Z mecjanizmem C3</v>
      </c>
      <c r="C192" t="str">
        <f>výpočty!$R$4</f>
        <v>Classic - wpuszczany do zafrezowania</v>
      </c>
      <c r="D192" s="36" t="str">
        <f>výpočty!$W$19</f>
        <v>Aluminium szerokość 25 mm (metallic-line)</v>
      </c>
      <c r="E192" t="s">
        <v>2131</v>
      </c>
      <c r="F192">
        <v>1</v>
      </c>
      <c r="G192" t="str">
        <f>Překlady!$A$150</f>
        <v>Systemu nawijania na mechanizm C3 nie można łączyć z prowadzeniem Classic, zalecamy wybrać inny system nawijania.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Systemu nawijania na mechanizm C3 nie można łączyć z prowadzeniem Classic, zalecamy wybrać inny system nawijania.</v>
      </c>
      <c r="N192">
        <f t="shared" si="8"/>
        <v>1</v>
      </c>
    </row>
    <row r="193" spans="1:14" ht="13.5" thickBot="1" x14ac:dyDescent="0.25">
      <c r="A193" s="255" t="str">
        <f>výpočty!$R$14</f>
        <v>Pionowy (z góry na dół)</v>
      </c>
      <c r="B193" t="str">
        <f>výpočty!$R$11</f>
        <v>Z mecjanizmem C3</v>
      </c>
      <c r="C193" t="str">
        <f>výpočty!$R$4</f>
        <v>Classic - wpuszczany do zafrezowania</v>
      </c>
      <c r="D193" s="27" t="str">
        <f>výpočty!$W$20</f>
        <v>Nierdz. szerokość 25 mm (metallic-line)</v>
      </c>
      <c r="E193" t="s">
        <v>2131</v>
      </c>
      <c r="F193">
        <v>1</v>
      </c>
      <c r="G193" t="str">
        <f>Překlady!$A$150</f>
        <v>Systemu nawijania na mechanizm C3 nie można łączyć z prowadzeniem Classic, zalecamy wybrać inny system nawijania.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Systemu nawijania na mechanizm C3 nie można łączyć z prowadzeniem Classic, zalecamy wybrać inny system nawijania.</v>
      </c>
      <c r="N193">
        <f t="shared" si="8"/>
        <v>1</v>
      </c>
    </row>
    <row r="194" spans="1:14" x14ac:dyDescent="0.2">
      <c r="A194" s="255" t="str">
        <f>výpočty!$R$14</f>
        <v>Pionowy (z góry na dół)</v>
      </c>
      <c r="B194" t="str">
        <f>výpočty!$R$11</f>
        <v>Z mecjanizmem C3</v>
      </c>
      <c r="C194" t="str">
        <f>výpočty!$R$5</f>
        <v>Frame - nakładany z listwą maskującą</v>
      </c>
      <c r="D194" s="26" t="str">
        <f>výpočty!$W$3</f>
        <v>Czarny (E23)</v>
      </c>
      <c r="E194" t="s">
        <v>2130</v>
      </c>
      <c r="F194">
        <v>0</v>
      </c>
      <c r="G194" t="s">
        <v>2140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x14ac:dyDescent="0.2">
      <c r="A195" s="255" t="str">
        <f>výpočty!$R$14</f>
        <v>Pionowy (z góry na dół)</v>
      </c>
      <c r="B195" t="str">
        <f>výpočty!$R$11</f>
        <v>Z mecjanizmem C3</v>
      </c>
      <c r="C195" t="str">
        <f>výpočty!$R$5</f>
        <v>Frame - nakładany z listwą maskującą</v>
      </c>
      <c r="D195" s="36" t="str">
        <f>výpočty!$W$4</f>
        <v>Biały (E23)</v>
      </c>
      <c r="E195" t="s">
        <v>2130</v>
      </c>
      <c r="F195">
        <v>0</v>
      </c>
      <c r="G195" t="s">
        <v>2140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x14ac:dyDescent="0.2">
      <c r="A196" s="255" t="str">
        <f>výpočty!$R$14</f>
        <v>Pionowy (z góry na dół)</v>
      </c>
      <c r="B196" t="str">
        <f>výpočty!$R$11</f>
        <v>Z mecjanizmem C3</v>
      </c>
      <c r="C196" t="str">
        <f>výpočty!$R$5</f>
        <v>Frame - nakładany z listwą maskującą</v>
      </c>
      <c r="D196" s="36" t="str">
        <f>výpočty!$W$5</f>
        <v>Szary (E23)</v>
      </c>
      <c r="E196" t="s">
        <v>2130</v>
      </c>
      <c r="F196">
        <v>0</v>
      </c>
      <c r="G196" t="s">
        <v>2140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x14ac:dyDescent="0.2">
      <c r="A197" s="255" t="str">
        <f>výpočty!$R$14</f>
        <v>Pionowy (z góry na dół)</v>
      </c>
      <c r="B197" t="str">
        <f>výpočty!$R$11</f>
        <v>Z mecjanizmem C3</v>
      </c>
      <c r="C197" t="str">
        <f>výpočty!$R$5</f>
        <v>Frame - nakładany z listwą maskującą</v>
      </c>
      <c r="D197" s="36" t="str">
        <f>výpočty!$W$6</f>
        <v>Aluminowa plastik (E23)</v>
      </c>
      <c r="E197" t="s">
        <v>2130</v>
      </c>
      <c r="F197">
        <v>0</v>
      </c>
      <c r="G197" t="s">
        <v>2140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x14ac:dyDescent="0.2">
      <c r="A198" s="255" t="str">
        <f>výpočty!$R$14</f>
        <v>Pionowy (z góry na dół)</v>
      </c>
      <c r="B198" t="str">
        <f>výpočty!$R$11</f>
        <v>Z mecjanizmem C3</v>
      </c>
      <c r="C198" t="str">
        <f>výpočty!$R$5</f>
        <v>Frame - nakładany z listwą maskującą</v>
      </c>
      <c r="D198" s="36" t="str">
        <f>výpočty!$W$7</f>
        <v>Buk (E23)</v>
      </c>
      <c r="E198" t="s">
        <v>2131</v>
      </c>
      <c r="F198">
        <v>1</v>
      </c>
      <c r="G198" s="321" t="str">
        <f>Překlady!$A$145</f>
        <v>Koloru BUK w profilu E23 nie da się łączyć z prowadzeniem FRAME.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Koloru BUK w profilu E23 nie da się łączyć z prowadzeniem FRAME.</v>
      </c>
      <c r="N198">
        <f t="shared" si="11"/>
        <v>1</v>
      </c>
    </row>
    <row r="199" spans="1:14" x14ac:dyDescent="0.2">
      <c r="A199" s="255" t="str">
        <f>výpočty!$R$14</f>
        <v>Pionowy (z góry na dół)</v>
      </c>
      <c r="B199" t="str">
        <f>výpočty!$R$11</f>
        <v>Z mecjanizmem C3</v>
      </c>
      <c r="C199" t="str">
        <f>výpočty!$R$5</f>
        <v>Frame - nakładany z listwą maskującą</v>
      </c>
      <c r="D199" s="36" t="str">
        <f>výpočty!$W$8</f>
        <v>Czereśnia (E23)</v>
      </c>
      <c r="E199" t="s">
        <v>2130</v>
      </c>
      <c r="F199">
        <v>1</v>
      </c>
      <c r="G199" t="str">
        <f>Překlady!$A$176</f>
        <v>Koloru Czereśnia w profilu E23 nie da się łączyć z prowadzeniem FRAME.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Koloru Czereśnia w profilu E23 nie da się łączyć z prowadzeniem FRAME.</v>
      </c>
      <c r="N199">
        <f t="shared" si="11"/>
        <v>1</v>
      </c>
    </row>
    <row r="200" spans="1:14" x14ac:dyDescent="0.2">
      <c r="A200" s="255" t="str">
        <f>výpočty!$R$14</f>
        <v>Pionowy (z góry na dół)</v>
      </c>
      <c r="B200" t="str">
        <f>výpočty!$R$11</f>
        <v>Z mecjanizmem C3</v>
      </c>
      <c r="C200" t="str">
        <f>výpočty!$R$5</f>
        <v>Frame - nakładany z listwą maskującą</v>
      </c>
      <c r="D200" s="36" t="str">
        <f>výpočty!$W$9</f>
        <v>Klon (E23)</v>
      </c>
      <c r="E200" t="s">
        <v>2130</v>
      </c>
      <c r="F200">
        <v>1</v>
      </c>
      <c r="G200" t="str">
        <f>Překlady!$A$177</f>
        <v>Koloru Klon w profilu E23 nie da się łączyć z prowadzeniem FRAME.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Koloru Klon w profilu E23 nie da się łączyć z prowadzeniem FRAME.</v>
      </c>
      <c r="N200">
        <f t="shared" si="11"/>
        <v>1</v>
      </c>
    </row>
    <row r="201" spans="1:14" x14ac:dyDescent="0.2">
      <c r="A201" s="255" t="str">
        <f>výpočty!$R$14</f>
        <v>Pionowy (z góry na dół)</v>
      </c>
      <c r="B201" t="str">
        <f>výpočty!$R$11</f>
        <v>Z mecjanizmem C3</v>
      </c>
      <c r="C201" t="str">
        <f>výpočty!$R$5</f>
        <v>Frame - nakładany z listwą maskującą</v>
      </c>
      <c r="D201" s="36" t="str">
        <f>výpočty!$W$10</f>
        <v>Brzoza (E23)</v>
      </c>
      <c r="E201" t="s">
        <v>2130</v>
      </c>
      <c r="F201">
        <v>1</v>
      </c>
      <c r="G201" t="str">
        <f>Překlady!$A$175</f>
        <v>Koloru Brzoza w profilu E23 nie da się łączyć z prowadzeniem FRAME.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Koloru Brzoza w profilu E23 nie da się łączyć z prowadzeniem FRAME.</v>
      </c>
      <c r="N201">
        <f t="shared" si="11"/>
        <v>1</v>
      </c>
    </row>
    <row r="202" spans="1:14" x14ac:dyDescent="0.2">
      <c r="A202" s="255" t="str">
        <f>výpočty!$R$14</f>
        <v>Pionowy (z góry na dół)</v>
      </c>
      <c r="B202" t="str">
        <f>výpočty!$R$11</f>
        <v>Z mecjanizmem C3</v>
      </c>
      <c r="C202" t="str">
        <f>výpočty!$R$5</f>
        <v>Frame - nakładany z listwą maskującą</v>
      </c>
      <c r="D202" s="36" t="str">
        <f>výpočty!$W$11</f>
        <v>Czereśnia havana (E23)</v>
      </c>
      <c r="E202" t="s">
        <v>2131</v>
      </c>
      <c r="F202">
        <v>1</v>
      </c>
      <c r="G202" t="str">
        <f>Překlady!$A$170</f>
        <v>Koloru Czereśnia havana w profilu E23 nie da się łączyć z prowadzeniem FRAME.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Koloru Czereśnia havana w profilu E23 nie da się łączyć z prowadzeniem FRAME.</v>
      </c>
      <c r="N202">
        <f t="shared" si="11"/>
        <v>1</v>
      </c>
    </row>
    <row r="203" spans="1:14" x14ac:dyDescent="0.2">
      <c r="A203" s="255" t="str">
        <f>výpočty!$R$14</f>
        <v>Pionowy (z góry na dół)</v>
      </c>
      <c r="B203" t="str">
        <f>výpočty!$R$11</f>
        <v>Z mecjanizmem C3</v>
      </c>
      <c r="C203" t="str">
        <f>výpočty!$R$5</f>
        <v>Frame - nakładany z listwą maskującą</v>
      </c>
      <c r="D203" s="36" t="str">
        <f>výpočty!$W$12</f>
        <v>Calvados (E23)</v>
      </c>
      <c r="E203" t="s">
        <v>2130</v>
      </c>
      <c r="F203">
        <v>0</v>
      </c>
      <c r="G203" t="s">
        <v>2140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x14ac:dyDescent="0.2">
      <c r="A204" s="255" t="str">
        <f>výpočty!$R$14</f>
        <v>Pionowy (z góry na dół)</v>
      </c>
      <c r="B204" t="str">
        <f>výpočty!$R$11</f>
        <v>Z mecjanizmem C3</v>
      </c>
      <c r="C204" t="str">
        <f>výpočty!$R$5</f>
        <v>Frame - nakładany z listwą maskującą</v>
      </c>
      <c r="D204" s="350" t="str">
        <f>výpočty!$W$14</f>
        <v>śnieżno biala mat (E9)</v>
      </c>
      <c r="E204" s="321" t="s">
        <v>2131</v>
      </c>
      <c r="F204" s="321">
        <v>1</v>
      </c>
      <c r="G204" s="321" t="str">
        <f>Překlady!$A$142</f>
        <v>Kolor śnieżno biały w profilu E9 można łączyć jedynie z prowadzeniem Classic i systemem nawijania do tyłu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Kolor śnieżno biały w profilu E9 można łączyć jedynie z prowadzeniem Classic i systemem nawijania do tyłu</v>
      </c>
      <c r="N204">
        <f t="shared" si="11"/>
        <v>1</v>
      </c>
    </row>
    <row r="205" spans="1:14" x14ac:dyDescent="0.2">
      <c r="A205" s="255" t="str">
        <f>výpočty!$R$14</f>
        <v>Pionowy (z góry na dół)</v>
      </c>
      <c r="B205" t="str">
        <f>výpočty!$R$11</f>
        <v>Z mecjanizmem C3</v>
      </c>
      <c r="C205" t="str">
        <f>výpočty!$R$5</f>
        <v>Frame - nakładany z listwą maskującą</v>
      </c>
      <c r="D205" s="36" t="str">
        <f>výpočty!$W$15</f>
        <v>Aluminowa plastik (E4)</v>
      </c>
      <c r="E205" s="321" t="s">
        <v>2131</v>
      </c>
      <c r="F205" s="321">
        <v>1</v>
      </c>
      <c r="G205" s="321" t="str">
        <f>Překlady!$A$143</f>
        <v>Kolor aluminium plastik w profilu E4 jest idealny do poziomych rozwiązań w kombinacji z prowadzeniem Classic z systemem nawijania do tyłu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>Kolor aluminium plastik w profilu E4 jest idealny do poziomych rozwiązań w kombinacji z prowadzeniem Classic z systemem nawijania do tyłu</v>
      </c>
      <c r="N205">
        <f t="shared" si="11"/>
        <v>1</v>
      </c>
    </row>
    <row r="206" spans="1:14" x14ac:dyDescent="0.2">
      <c r="A206" s="255" t="str">
        <f>výpočty!$R$14</f>
        <v>Pionowy (z góry na dół)</v>
      </c>
      <c r="B206" t="str">
        <f>výpočty!$R$11</f>
        <v>Z mecjanizmem C3</v>
      </c>
      <c r="C206" t="str">
        <f>výpočty!$R$5</f>
        <v>Frame - nakładany z listwą maskującą</v>
      </c>
      <c r="D206" s="36">
        <f>výpočty!$W$17</f>
        <v>0</v>
      </c>
      <c r="E206" t="s">
        <v>2130</v>
      </c>
      <c r="F206">
        <v>0</v>
      </c>
      <c r="G206" t="s">
        <v>2140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x14ac:dyDescent="0.2">
      <c r="A207" s="255" t="str">
        <f>výpočty!$R$14</f>
        <v>Pionowy (z góry na dół)</v>
      </c>
      <c r="B207" t="str">
        <f>výpočty!$R$11</f>
        <v>Z mecjanizmem C3</v>
      </c>
      <c r="C207" t="str">
        <f>výpočty!$R$5</f>
        <v>Frame - nakładany z listwą maskującą</v>
      </c>
      <c r="D207" s="36">
        <f>výpočty!$W$18</f>
        <v>0</v>
      </c>
      <c r="E207" t="s">
        <v>2130</v>
      </c>
      <c r="F207">
        <v>0</v>
      </c>
      <c r="G207" t="s">
        <v>2140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x14ac:dyDescent="0.2">
      <c r="A208" s="255" t="str">
        <f>výpočty!$R$14</f>
        <v>Pionowy (z góry na dół)</v>
      </c>
      <c r="B208" t="str">
        <f>výpočty!$R$11</f>
        <v>Z mecjanizmem C3</v>
      </c>
      <c r="C208" t="str">
        <f>výpočty!$R$5</f>
        <v>Frame - nakładany z listwą maskującą</v>
      </c>
      <c r="D208" s="36" t="str">
        <f>výpočty!$W$19</f>
        <v>Aluminium szerokość 25 mm (metallic-line)</v>
      </c>
      <c r="E208" t="s">
        <v>2130</v>
      </c>
      <c r="F208">
        <v>0</v>
      </c>
      <c r="G208" t="s">
        <v>2140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3.5" thickBot="1" x14ac:dyDescent="0.25">
      <c r="A209" s="255" t="str">
        <f>výpočty!$R$14</f>
        <v>Pionowy (z góry na dół)</v>
      </c>
      <c r="B209" t="str">
        <f>výpočty!$R$11</f>
        <v>Z mecjanizmem C3</v>
      </c>
      <c r="C209" t="str">
        <f>výpočty!$R$5</f>
        <v>Frame - nakładany z listwą maskującą</v>
      </c>
      <c r="D209" s="27" t="str">
        <f>výpočty!$W$20</f>
        <v>Nierdz. szerokość 25 mm (metallic-line)</v>
      </c>
      <c r="E209" t="s">
        <v>2130</v>
      </c>
      <c r="F209">
        <v>0</v>
      </c>
      <c r="G209" t="s">
        <v>2140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x14ac:dyDescent="0.2">
      <c r="A210" s="255" t="str">
        <f>výpočty!$R$14</f>
        <v>Pionowy (z góry na dół)</v>
      </c>
      <c r="B210" t="str">
        <f>výpočty!$R$11</f>
        <v>Z mecjanizmem C3</v>
      </c>
      <c r="C210" t="str">
        <f>výpočty!$R$6</f>
        <v>TOP - wpuszczany do przykręcenia metalowy z listwą maskującą</v>
      </c>
      <c r="D210" s="26" t="str">
        <f>výpočty!$W$3</f>
        <v>Czarny (E23)</v>
      </c>
      <c r="E210" t="s">
        <v>2130</v>
      </c>
      <c r="F210">
        <v>0</v>
      </c>
      <c r="G210" t="s">
        <v>2140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x14ac:dyDescent="0.2">
      <c r="A211" s="255" t="str">
        <f>výpočty!$R$14</f>
        <v>Pionowy (z góry na dół)</v>
      </c>
      <c r="B211" t="str">
        <f>výpočty!$R$11</f>
        <v>Z mecjanizmem C3</v>
      </c>
      <c r="C211" t="str">
        <f>výpočty!$R$6</f>
        <v>TOP - wpuszczany do przykręcenia metalowy z listwą maskującą</v>
      </c>
      <c r="D211" s="36" t="str">
        <f>výpočty!$W$4</f>
        <v>Biały (E23)</v>
      </c>
      <c r="E211" t="s">
        <v>2130</v>
      </c>
      <c r="F211">
        <v>0</v>
      </c>
      <c r="G211" t="s">
        <v>2140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x14ac:dyDescent="0.2">
      <c r="A212" s="255" t="str">
        <f>výpočty!$R$14</f>
        <v>Pionowy (z góry na dół)</v>
      </c>
      <c r="B212" t="str">
        <f>výpočty!$R$11</f>
        <v>Z mecjanizmem C3</v>
      </c>
      <c r="C212" t="str">
        <f>výpočty!$R$6</f>
        <v>TOP - wpuszczany do przykręcenia metalowy z listwą maskującą</v>
      </c>
      <c r="D212" s="36" t="str">
        <f>výpočty!$W$5</f>
        <v>Szary (E23)</v>
      </c>
      <c r="E212" t="s">
        <v>2130</v>
      </c>
      <c r="F212">
        <v>0</v>
      </c>
      <c r="G212" t="s">
        <v>2140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x14ac:dyDescent="0.2">
      <c r="A213" s="255" t="str">
        <f>výpočty!$R$14</f>
        <v>Pionowy (z góry na dół)</v>
      </c>
      <c r="B213" t="str">
        <f>výpočty!$R$11</f>
        <v>Z mecjanizmem C3</v>
      </c>
      <c r="C213" t="str">
        <f>výpočty!$R$6</f>
        <v>TOP - wpuszczany do przykręcenia metalowy z listwą maskującą</v>
      </c>
      <c r="D213" s="36" t="str">
        <f>výpočty!$W$6</f>
        <v>Aluminowa plastik (E23)</v>
      </c>
      <c r="E213" t="s">
        <v>2130</v>
      </c>
      <c r="F213">
        <v>0</v>
      </c>
      <c r="G213" t="s">
        <v>2140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x14ac:dyDescent="0.2">
      <c r="A214" s="255" t="str">
        <f>výpočty!$R$14</f>
        <v>Pionowy (z góry na dół)</v>
      </c>
      <c r="B214" t="str">
        <f>výpočty!$R$11</f>
        <v>Z mecjanizmem C3</v>
      </c>
      <c r="C214" t="str">
        <f>výpočty!$R$6</f>
        <v>TOP - wpuszczany do przykręcenia metalowy z listwą maskującą</v>
      </c>
      <c r="D214" s="36" t="str">
        <f>výpočty!$W$7</f>
        <v>Buk (E23)</v>
      </c>
      <c r="E214" t="s">
        <v>2130</v>
      </c>
      <c r="F214">
        <v>0</v>
      </c>
      <c r="G214" t="s">
        <v>2140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x14ac:dyDescent="0.2">
      <c r="A215" s="255" t="str">
        <f>výpočty!$R$14</f>
        <v>Pionowy (z góry na dół)</v>
      </c>
      <c r="B215" t="str">
        <f>výpočty!$R$11</f>
        <v>Z mecjanizmem C3</v>
      </c>
      <c r="C215" t="str">
        <f>výpočty!$R$6</f>
        <v>TOP - wpuszczany do przykręcenia metalowy z listwą maskującą</v>
      </c>
      <c r="D215" s="36" t="str">
        <f>výpočty!$W$8</f>
        <v>Czereśnia (E23)</v>
      </c>
      <c r="E215" t="s">
        <v>2130</v>
      </c>
      <c r="F215">
        <v>0</v>
      </c>
      <c r="G215" t="s">
        <v>2140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x14ac:dyDescent="0.2">
      <c r="A216" s="255" t="str">
        <f>výpočty!$R$14</f>
        <v>Pionowy (z góry na dół)</v>
      </c>
      <c r="B216" t="str">
        <f>výpočty!$R$11</f>
        <v>Z mecjanizmem C3</v>
      </c>
      <c r="C216" t="str">
        <f>výpočty!$R$6</f>
        <v>TOP - wpuszczany do przykręcenia metalowy z listwą maskującą</v>
      </c>
      <c r="D216" s="36" t="str">
        <f>výpočty!$W$9</f>
        <v>Klon (E23)</v>
      </c>
      <c r="E216" t="s">
        <v>2130</v>
      </c>
      <c r="F216">
        <v>0</v>
      </c>
      <c r="G216" t="s">
        <v>2140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x14ac:dyDescent="0.2">
      <c r="A217" s="255" t="str">
        <f>výpočty!$R$14</f>
        <v>Pionowy (z góry na dół)</v>
      </c>
      <c r="B217" t="str">
        <f>výpočty!$R$11</f>
        <v>Z mecjanizmem C3</v>
      </c>
      <c r="C217" t="str">
        <f>výpočty!$R$6</f>
        <v>TOP - wpuszczany do przykręcenia metalowy z listwą maskującą</v>
      </c>
      <c r="D217" s="36" t="str">
        <f>výpočty!$W$10</f>
        <v>Brzoza (E23)</v>
      </c>
      <c r="E217" t="s">
        <v>2130</v>
      </c>
      <c r="F217">
        <v>0</v>
      </c>
      <c r="G217" t="s">
        <v>2140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x14ac:dyDescent="0.2">
      <c r="A218" s="255" t="str">
        <f>výpočty!$R$14</f>
        <v>Pionowy (z góry na dół)</v>
      </c>
      <c r="B218" t="str">
        <f>výpočty!$R$11</f>
        <v>Z mecjanizmem C3</v>
      </c>
      <c r="C218" t="str">
        <f>výpočty!$R$6</f>
        <v>TOP - wpuszczany do przykręcenia metalowy z listwą maskującą</v>
      </c>
      <c r="D218" s="36" t="str">
        <f>výpočty!$W$11</f>
        <v>Czereśnia havana (E23)</v>
      </c>
      <c r="E218" t="s">
        <v>2130</v>
      </c>
      <c r="F218">
        <v>0</v>
      </c>
      <c r="G218" t="s">
        <v>2140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x14ac:dyDescent="0.2">
      <c r="A219" s="255" t="str">
        <f>výpočty!$R$14</f>
        <v>Pionowy (z góry na dół)</v>
      </c>
      <c r="B219" t="str">
        <f>výpočty!$R$11</f>
        <v>Z mecjanizmem C3</v>
      </c>
      <c r="C219" t="str">
        <f>výpočty!$R$6</f>
        <v>TOP - wpuszczany do przykręcenia metalowy z listwą maskującą</v>
      </c>
      <c r="D219" s="36" t="str">
        <f>výpočty!$W$12</f>
        <v>Calvados (E23)</v>
      </c>
      <c r="E219" t="s">
        <v>2130</v>
      </c>
      <c r="F219">
        <v>0</v>
      </c>
      <c r="G219" t="s">
        <v>2140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x14ac:dyDescent="0.2">
      <c r="A220" s="255" t="str">
        <f>výpočty!$R$14</f>
        <v>Pionowy (z góry na dół)</v>
      </c>
      <c r="B220" t="str">
        <f>výpočty!$R$11</f>
        <v>Z mecjanizmem C3</v>
      </c>
      <c r="C220" t="str">
        <f>výpočty!$R$6</f>
        <v>TOP - wpuszczany do przykręcenia metalowy z listwą maskującą</v>
      </c>
      <c r="D220" s="350" t="str">
        <f>výpočty!$W$14</f>
        <v>śnieżno biala mat (E9)</v>
      </c>
      <c r="E220" t="s">
        <v>2130</v>
      </c>
      <c r="F220">
        <v>0</v>
      </c>
      <c r="G220" t="s">
        <v>2140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x14ac:dyDescent="0.2">
      <c r="A221" s="255" t="str">
        <f>výpočty!$R$14</f>
        <v>Pionowy (z góry na dół)</v>
      </c>
      <c r="B221" t="str">
        <f>výpočty!$R$11</f>
        <v>Z mecjanizmem C3</v>
      </c>
      <c r="C221" t="str">
        <f>výpočty!$R$6</f>
        <v>TOP - wpuszczany do przykręcenia metalowy z listwą maskującą</v>
      </c>
      <c r="D221" s="36" t="str">
        <f>výpočty!$W$15</f>
        <v>Aluminowa plastik (E4)</v>
      </c>
      <c r="E221" s="321" t="s">
        <v>2131</v>
      </c>
      <c r="F221" s="321">
        <v>1</v>
      </c>
      <c r="G221" s="321" t="str">
        <f>Překlady!$A$143</f>
        <v>Kolor aluminium plastik w profilu E4 jest idealny do poziomych rozwiązań w kombinacji z prowadzeniem Classic z systemem nawijania do tyłu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>Kolor aluminium plastik w profilu E4 jest idealny do poziomych rozwiązań w kombinacji z prowadzeniem Classic z systemem nawijania do tyłu</v>
      </c>
      <c r="N221">
        <f t="shared" si="11"/>
        <v>1</v>
      </c>
    </row>
    <row r="222" spans="1:14" x14ac:dyDescent="0.2">
      <c r="A222" s="255" t="str">
        <f>výpočty!$R$14</f>
        <v>Pionowy (z góry na dół)</v>
      </c>
      <c r="B222" t="str">
        <f>výpočty!$R$11</f>
        <v>Z mecjanizmem C3</v>
      </c>
      <c r="C222" t="str">
        <f>výpočty!$R$6</f>
        <v>TOP - wpuszczany do przykręcenia metalowy z listwą maskującą</v>
      </c>
      <c r="D222" s="36">
        <f>výpočty!$W$17</f>
        <v>0</v>
      </c>
      <c r="E222" t="s">
        <v>2130</v>
      </c>
      <c r="F222">
        <v>0</v>
      </c>
      <c r="G222" t="s">
        <v>2140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x14ac:dyDescent="0.2">
      <c r="A223" s="255" t="str">
        <f>výpočty!$R$14</f>
        <v>Pionowy (z góry na dół)</v>
      </c>
      <c r="B223" t="str">
        <f>výpočty!$R$11</f>
        <v>Z mecjanizmem C3</v>
      </c>
      <c r="C223" t="str">
        <f>výpočty!$R$6</f>
        <v>TOP - wpuszczany do przykręcenia metalowy z listwą maskującą</v>
      </c>
      <c r="D223" s="36">
        <f>výpočty!$W$18</f>
        <v>0</v>
      </c>
      <c r="E223" t="s">
        <v>2130</v>
      </c>
      <c r="F223">
        <v>0</v>
      </c>
      <c r="G223" t="s">
        <v>2140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x14ac:dyDescent="0.2">
      <c r="A224" s="255" t="str">
        <f>výpočty!$R$14</f>
        <v>Pionowy (z góry na dół)</v>
      </c>
      <c r="B224" t="str">
        <f>výpočty!$R$11</f>
        <v>Z mecjanizmem C3</v>
      </c>
      <c r="C224" t="str">
        <f>výpočty!$R$6</f>
        <v>TOP - wpuszczany do przykręcenia metalowy z listwą maskującą</v>
      </c>
      <c r="D224" s="36" t="str">
        <f>výpočty!$W$19</f>
        <v>Aluminium szerokość 25 mm (metallic-line)</v>
      </c>
      <c r="E224" t="s">
        <v>2130</v>
      </c>
      <c r="F224">
        <v>0</v>
      </c>
      <c r="G224" t="s">
        <v>2140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3.5" thickBot="1" x14ac:dyDescent="0.25">
      <c r="A225" s="255" t="str">
        <f>výpočty!$R$14</f>
        <v>Pionowy (z góry na dół)</v>
      </c>
      <c r="B225" t="str">
        <f>výpočty!$R$11</f>
        <v>Z mecjanizmem C3</v>
      </c>
      <c r="C225" t="str">
        <f>výpočty!$R$6</f>
        <v>TOP - wpuszczany do przykręcenia metalowy z listwą maskującą</v>
      </c>
      <c r="D225" s="27" t="str">
        <f>výpočty!$W$20</f>
        <v>Nierdz. szerokość 25 mm (metallic-line)</v>
      </c>
      <c r="E225" t="s">
        <v>2130</v>
      </c>
      <c r="F225">
        <v>0</v>
      </c>
      <c r="G225" t="s">
        <v>2140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x14ac:dyDescent="0.2">
      <c r="A226" s="255" t="str">
        <f>výpočty!$R$14</f>
        <v>Pionowy (z góry na dół)</v>
      </c>
      <c r="B226" t="str">
        <f>výpočty!$R$11</f>
        <v>Z mecjanizmem C3</v>
      </c>
      <c r="C226" t="str">
        <f>výpočty!$R$7</f>
        <v>Nakładany z prowadzeniem metalic-line 29 mm i mechanimem C3</v>
      </c>
      <c r="D226" s="26" t="str">
        <f>výpočty!$W$3</f>
        <v>Czarny (E23)</v>
      </c>
      <c r="E226" t="s">
        <v>2131</v>
      </c>
      <c r="F226">
        <v>1</v>
      </c>
      <c r="G226" s="321" t="str">
        <f>Překlady!$A$151</f>
        <v>Nakładany system prowadzenia z metalic-line 29 mm i mechanizmem C3 zalecamy łaczyć tylko z profilem Metallic Line.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Nakładany system prowadzenia z metalic-line 29 mm i mechanizmem C3 zalecamy łaczyć tylko z profilem Metallic Line.</v>
      </c>
      <c r="N226">
        <f t="shared" si="11"/>
        <v>1</v>
      </c>
    </row>
    <row r="227" spans="1:14" x14ac:dyDescent="0.2">
      <c r="A227" s="255" t="str">
        <f>výpočty!$R$14</f>
        <v>Pionowy (z góry na dół)</v>
      </c>
      <c r="B227" t="str">
        <f>výpočty!$R$11</f>
        <v>Z mecjanizmem C3</v>
      </c>
      <c r="C227" t="str">
        <f>výpočty!$R$7</f>
        <v>Nakładany z prowadzeniem metalic-line 29 mm i mechanimem C3</v>
      </c>
      <c r="D227" s="36" t="str">
        <f>výpočty!$W$4</f>
        <v>Biały (E23)</v>
      </c>
      <c r="E227" t="s">
        <v>2131</v>
      </c>
      <c r="F227">
        <v>1</v>
      </c>
      <c r="G227" s="321" t="str">
        <f>Překlady!$A$151</f>
        <v>Nakładany system prowadzenia z metalic-line 29 mm i mechanizmem C3 zalecamy łaczyć tylko z profilem Metallic Line.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Nakładany system prowadzenia z metalic-line 29 mm i mechanizmem C3 zalecamy łaczyć tylko z profilem Metallic Line.</v>
      </c>
      <c r="N227">
        <f t="shared" si="11"/>
        <v>1</v>
      </c>
    </row>
    <row r="228" spans="1:14" x14ac:dyDescent="0.2">
      <c r="A228" s="255" t="str">
        <f>výpočty!$R$14</f>
        <v>Pionowy (z góry na dół)</v>
      </c>
      <c r="B228" t="str">
        <f>výpočty!$R$11</f>
        <v>Z mecjanizmem C3</v>
      </c>
      <c r="C228" t="str">
        <f>výpočty!$R$7</f>
        <v>Nakładany z prowadzeniem metalic-line 29 mm i mechanimem C3</v>
      </c>
      <c r="D228" s="36" t="str">
        <f>výpočty!$W$5</f>
        <v>Szary (E23)</v>
      </c>
      <c r="E228" t="s">
        <v>2131</v>
      </c>
      <c r="F228">
        <v>1</v>
      </c>
      <c r="G228" s="321" t="str">
        <f>Překlady!$A$151</f>
        <v>Nakładany system prowadzenia z metalic-line 29 mm i mechanizmem C3 zalecamy łaczyć tylko z profilem Metallic Line.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Nakładany system prowadzenia z metalic-line 29 mm i mechanizmem C3 zalecamy łaczyć tylko z profilem Metallic Line.</v>
      </c>
      <c r="N228">
        <f t="shared" si="11"/>
        <v>1</v>
      </c>
    </row>
    <row r="229" spans="1:14" x14ac:dyDescent="0.2">
      <c r="A229" s="255" t="str">
        <f>výpočty!$R$14</f>
        <v>Pionowy (z góry na dół)</v>
      </c>
      <c r="B229" t="str">
        <f>výpočty!$R$11</f>
        <v>Z mecjanizmem C3</v>
      </c>
      <c r="C229" t="str">
        <f>výpočty!$R$7</f>
        <v>Nakładany z prowadzeniem metalic-line 29 mm i mechanimem C3</v>
      </c>
      <c r="D229" s="36" t="str">
        <f>výpočty!$W$6</f>
        <v>Aluminowa plastik (E23)</v>
      </c>
      <c r="E229" t="s">
        <v>2131</v>
      </c>
      <c r="F229">
        <v>1</v>
      </c>
      <c r="G229" s="321" t="str">
        <f>Překlady!$A$151</f>
        <v>Nakładany system prowadzenia z metalic-line 29 mm i mechanizmem C3 zalecamy łaczyć tylko z profilem Metallic Line.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Nakładany system prowadzenia z metalic-line 29 mm i mechanizmem C3 zalecamy łaczyć tylko z profilem Metallic Line.</v>
      </c>
      <c r="N229">
        <f t="shared" si="11"/>
        <v>1</v>
      </c>
    </row>
    <row r="230" spans="1:14" x14ac:dyDescent="0.2">
      <c r="A230" s="255" t="str">
        <f>výpočty!$R$14</f>
        <v>Pionowy (z góry na dół)</v>
      </c>
      <c r="B230" t="str">
        <f>výpočty!$R$11</f>
        <v>Z mecjanizmem C3</v>
      </c>
      <c r="C230" t="str">
        <f>výpočty!$R$7</f>
        <v>Nakładany z prowadzeniem metalic-line 29 mm i mechanimem C3</v>
      </c>
      <c r="D230" s="36" t="str">
        <f>výpočty!$W$7</f>
        <v>Buk (E23)</v>
      </c>
      <c r="E230" t="s">
        <v>2131</v>
      </c>
      <c r="F230">
        <v>1</v>
      </c>
      <c r="G230" s="321" t="str">
        <f>Překlady!$A$151</f>
        <v>Nakładany system prowadzenia z metalic-line 29 mm i mechanizmem C3 zalecamy łaczyć tylko z profilem Metallic Line.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Nakładany system prowadzenia z metalic-line 29 mm i mechanizmem C3 zalecamy łaczyć tylko z profilem Metallic Line.</v>
      </c>
      <c r="N230">
        <f t="shared" si="11"/>
        <v>1</v>
      </c>
    </row>
    <row r="231" spans="1:14" x14ac:dyDescent="0.2">
      <c r="A231" s="255" t="str">
        <f>výpočty!$R$14</f>
        <v>Pionowy (z góry na dół)</v>
      </c>
      <c r="B231" t="str">
        <f>výpočty!$R$11</f>
        <v>Z mecjanizmem C3</v>
      </c>
      <c r="C231" t="str">
        <f>výpočty!$R$7</f>
        <v>Nakładany z prowadzeniem metalic-line 29 mm i mechanimem C3</v>
      </c>
      <c r="D231" s="36" t="str">
        <f>výpočty!$W$8</f>
        <v>Czereśnia (E23)</v>
      </c>
      <c r="E231" t="s">
        <v>2131</v>
      </c>
      <c r="F231">
        <v>1</v>
      </c>
      <c r="G231" s="321" t="str">
        <f>Překlady!$A$151</f>
        <v>Nakładany system prowadzenia z metalic-line 29 mm i mechanizmem C3 zalecamy łaczyć tylko z profilem Metallic Line.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Nakładany system prowadzenia z metalic-line 29 mm i mechanizmem C3 zalecamy łaczyć tylko z profilem Metallic Line.</v>
      </c>
      <c r="N231">
        <f t="shared" si="11"/>
        <v>1</v>
      </c>
    </row>
    <row r="232" spans="1:14" x14ac:dyDescent="0.2">
      <c r="A232" s="255" t="str">
        <f>výpočty!$R$14</f>
        <v>Pionowy (z góry na dół)</v>
      </c>
      <c r="B232" t="str">
        <f>výpočty!$R$11</f>
        <v>Z mecjanizmem C3</v>
      </c>
      <c r="C232" t="str">
        <f>výpočty!$R$7</f>
        <v>Nakładany z prowadzeniem metalic-line 29 mm i mechanimem C3</v>
      </c>
      <c r="D232" s="36" t="str">
        <f>výpočty!$W$9</f>
        <v>Klon (E23)</v>
      </c>
      <c r="E232" t="s">
        <v>2131</v>
      </c>
      <c r="F232">
        <v>1</v>
      </c>
      <c r="G232" s="321" t="str">
        <f>Překlady!$A$151</f>
        <v>Nakładany system prowadzenia z metalic-line 29 mm i mechanizmem C3 zalecamy łaczyć tylko z profilem Metallic Line.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Nakładany system prowadzenia z metalic-line 29 mm i mechanizmem C3 zalecamy łaczyć tylko z profilem Metallic Line.</v>
      </c>
      <c r="N232">
        <f t="shared" si="11"/>
        <v>1</v>
      </c>
    </row>
    <row r="233" spans="1:14" x14ac:dyDescent="0.2">
      <c r="A233" s="255" t="str">
        <f>výpočty!$R$14</f>
        <v>Pionowy (z góry na dół)</v>
      </c>
      <c r="B233" t="str">
        <f>výpočty!$R$11</f>
        <v>Z mecjanizmem C3</v>
      </c>
      <c r="C233" t="str">
        <f>výpočty!$R$7</f>
        <v>Nakładany z prowadzeniem metalic-line 29 mm i mechanimem C3</v>
      </c>
      <c r="D233" s="36" t="str">
        <f>výpočty!$W$10</f>
        <v>Brzoza (E23)</v>
      </c>
      <c r="E233" t="s">
        <v>2131</v>
      </c>
      <c r="F233">
        <v>1</v>
      </c>
      <c r="G233" s="321" t="str">
        <f>Překlady!$A$151</f>
        <v>Nakładany system prowadzenia z metalic-line 29 mm i mechanizmem C3 zalecamy łaczyć tylko z profilem Metallic Line.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Nakładany system prowadzenia z metalic-line 29 mm i mechanizmem C3 zalecamy łaczyć tylko z profilem Metallic Line.</v>
      </c>
      <c r="N233">
        <f t="shared" si="11"/>
        <v>1</v>
      </c>
    </row>
    <row r="234" spans="1:14" x14ac:dyDescent="0.2">
      <c r="A234" s="255" t="str">
        <f>výpočty!$R$14</f>
        <v>Pionowy (z góry na dół)</v>
      </c>
      <c r="B234" t="str">
        <f>výpočty!$R$11</f>
        <v>Z mecjanizmem C3</v>
      </c>
      <c r="C234" t="str">
        <f>výpočty!$R$7</f>
        <v>Nakładany z prowadzeniem metalic-line 29 mm i mechanimem C3</v>
      </c>
      <c r="D234" s="36" t="str">
        <f>výpočty!$W$11</f>
        <v>Czereśnia havana (E23)</v>
      </c>
      <c r="E234" t="s">
        <v>2131</v>
      </c>
      <c r="F234">
        <v>1</v>
      </c>
      <c r="G234" s="321" t="str">
        <f>Překlady!$A$151</f>
        <v>Nakładany system prowadzenia z metalic-line 29 mm i mechanizmem C3 zalecamy łaczyć tylko z profilem Metallic Line.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Nakładany system prowadzenia z metalic-line 29 mm i mechanizmem C3 zalecamy łaczyć tylko z profilem Metallic Line.</v>
      </c>
      <c r="N234">
        <f t="shared" si="11"/>
        <v>1</v>
      </c>
    </row>
    <row r="235" spans="1:14" x14ac:dyDescent="0.2">
      <c r="A235" s="255" t="str">
        <f>výpočty!$R$14</f>
        <v>Pionowy (z góry na dół)</v>
      </c>
      <c r="B235" t="str">
        <f>výpočty!$R$11</f>
        <v>Z mecjanizmem C3</v>
      </c>
      <c r="C235" t="str">
        <f>výpočty!$R$7</f>
        <v>Nakładany z prowadzeniem metalic-line 29 mm i mechanimem C3</v>
      </c>
      <c r="D235" s="36" t="str">
        <f>výpočty!$W$12</f>
        <v>Calvados (E23)</v>
      </c>
      <c r="E235" t="s">
        <v>2131</v>
      </c>
      <c r="F235">
        <v>1</v>
      </c>
      <c r="G235" s="321" t="str">
        <f>Překlady!$A$151</f>
        <v>Nakładany system prowadzenia z metalic-line 29 mm i mechanizmem C3 zalecamy łaczyć tylko z profilem Metallic Line.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Nakładany system prowadzenia z metalic-line 29 mm i mechanizmem C3 zalecamy łaczyć tylko z profilem Metallic Line.</v>
      </c>
      <c r="N235">
        <f t="shared" si="11"/>
        <v>1</v>
      </c>
    </row>
    <row r="236" spans="1:14" x14ac:dyDescent="0.2">
      <c r="A236" s="255" t="str">
        <f>výpočty!$R$14</f>
        <v>Pionowy (z góry na dół)</v>
      </c>
      <c r="B236" t="str">
        <f>výpočty!$R$11</f>
        <v>Z mecjanizmem C3</v>
      </c>
      <c r="C236" t="str">
        <f>výpočty!$R$7</f>
        <v>Nakładany z prowadzeniem metalic-line 29 mm i mechanimem C3</v>
      </c>
      <c r="D236" s="36" t="str">
        <f>výpočty!$W$14</f>
        <v>śnieżno biala mat (E9)</v>
      </c>
      <c r="E236" t="s">
        <v>2131</v>
      </c>
      <c r="F236">
        <v>1</v>
      </c>
      <c r="G236" s="321" t="str">
        <f>Překlady!$A$142</f>
        <v>Kolor śnieżno biały w profilu E9 można łączyć jedynie z prowadzeniem Classic i systemem nawijania do tyłu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Kolor śnieżno biały w profilu E9 można łączyć jedynie z prowadzeniem Classic i systemem nawijania do tyłu</v>
      </c>
      <c r="N236">
        <f t="shared" si="11"/>
        <v>1</v>
      </c>
    </row>
    <row r="237" spans="1:14" x14ac:dyDescent="0.2">
      <c r="A237" s="255" t="str">
        <f>výpočty!$R$14</f>
        <v>Pionowy (z góry na dół)</v>
      </c>
      <c r="B237" t="str">
        <f>výpočty!$R$11</f>
        <v>Z mecjanizmem C3</v>
      </c>
      <c r="C237" t="str">
        <f>výpočty!$R$7</f>
        <v>Nakładany z prowadzeniem metalic-line 29 mm i mechanimem C3</v>
      </c>
      <c r="D237" s="36" t="str">
        <f>výpočty!$W$15</f>
        <v>Aluminowa plastik (E4)</v>
      </c>
      <c r="E237" t="s">
        <v>2131</v>
      </c>
      <c r="F237">
        <v>1</v>
      </c>
      <c r="G237" s="321" t="str">
        <f>Překlady!$A$143</f>
        <v>Kolor aluminium plastik w profilu E4 jest idealny do poziomych rozwiązań w kombinacji z prowadzeniem Classic z systemem nawijania do tyłu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>Kolor aluminium plastik w profilu E4 jest idealny do poziomych rozwiązań w kombinacji z prowadzeniem Classic z systemem nawijania do tyłu</v>
      </c>
      <c r="N237">
        <f t="shared" si="11"/>
        <v>1</v>
      </c>
    </row>
    <row r="238" spans="1:14" x14ac:dyDescent="0.2">
      <c r="A238" s="255" t="str">
        <f>výpočty!$R$14</f>
        <v>Pionowy (z góry na dół)</v>
      </c>
      <c r="B238" t="str">
        <f>výpočty!$R$11</f>
        <v>Z mecjanizmem C3</v>
      </c>
      <c r="C238" t="str">
        <f>výpočty!$R$7</f>
        <v>Nakładany z prowadzeniem metalic-line 29 mm i mechanimem C3</v>
      </c>
      <c r="D238" s="36">
        <f>výpočty!$W$17</f>
        <v>0</v>
      </c>
      <c r="E238" t="s">
        <v>2130</v>
      </c>
      <c r="F238">
        <v>0</v>
      </c>
      <c r="G238" t="s">
        <v>2140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x14ac:dyDescent="0.2">
      <c r="A239" s="255" t="str">
        <f>výpočty!$R$14</f>
        <v>Pionowy (z góry na dół)</v>
      </c>
      <c r="B239" t="str">
        <f>výpočty!$R$11</f>
        <v>Z mecjanizmem C3</v>
      </c>
      <c r="C239" t="str">
        <f>výpočty!$R$7</f>
        <v>Nakładany z prowadzeniem metalic-line 29 mm i mechanimem C3</v>
      </c>
      <c r="D239" s="36">
        <f>výpočty!$W$18</f>
        <v>0</v>
      </c>
      <c r="E239" t="s">
        <v>2130</v>
      </c>
      <c r="F239">
        <v>0</v>
      </c>
      <c r="G239" t="s">
        <v>2140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x14ac:dyDescent="0.2">
      <c r="A240" s="255" t="str">
        <f>výpočty!$R$14</f>
        <v>Pionowy (z góry na dół)</v>
      </c>
      <c r="B240" t="str">
        <f>výpočty!$R$11</f>
        <v>Z mecjanizmem C3</v>
      </c>
      <c r="C240" t="str">
        <f>výpočty!$R$7</f>
        <v>Nakładany z prowadzeniem metalic-line 29 mm i mechanimem C3</v>
      </c>
      <c r="D240" s="36" t="str">
        <f>výpočty!$W$19</f>
        <v>Aluminium szerokość 25 mm (metallic-line)</v>
      </c>
      <c r="E240" t="s">
        <v>2130</v>
      </c>
      <c r="F240">
        <v>0</v>
      </c>
      <c r="G240" t="s">
        <v>2140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3.5" thickBot="1" x14ac:dyDescent="0.25">
      <c r="A241" s="255" t="str">
        <f>výpočty!$R$14</f>
        <v>Pionowy (z góry na dół)</v>
      </c>
      <c r="B241" t="str">
        <f>výpočty!$R$11</f>
        <v>Z mecjanizmem C3</v>
      </c>
      <c r="C241" t="str">
        <f>výpočty!$R$7</f>
        <v>Nakładany z prowadzeniem metalic-line 29 mm i mechanimem C3</v>
      </c>
      <c r="D241" s="27" t="str">
        <f>výpočty!$W$20</f>
        <v>Nierdz. szerokość 25 mm (metallic-line)</v>
      </c>
      <c r="E241" t="s">
        <v>2130</v>
      </c>
      <c r="F241">
        <v>0</v>
      </c>
      <c r="G241" t="s">
        <v>2140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x14ac:dyDescent="0.2">
      <c r="A242" s="255" t="str">
        <f>výpočty!$R$15</f>
        <v>Poziomy (z lewej strony na prawą)</v>
      </c>
      <c r="B242" s="256" t="str">
        <f>výpočty!$R$9</f>
        <v>Do tyłu</v>
      </c>
      <c r="C242" t="str">
        <f>výpočty!$R$3</f>
        <v>TOP Basic - wpuszczany do przykręcenia plastikowy</v>
      </c>
      <c r="D242" s="26" t="str">
        <f>výpočty!$W$3</f>
        <v>Czarny (E23)</v>
      </c>
      <c r="E242" t="s">
        <v>2130</v>
      </c>
      <c r="F242">
        <v>0</v>
      </c>
      <c r="G242" t="s">
        <v>2140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x14ac:dyDescent="0.2">
      <c r="A243" s="255" t="str">
        <f>výpočty!$R$15</f>
        <v>Poziomy (z lewej strony na prawą)</v>
      </c>
      <c r="B243" s="256" t="str">
        <f>výpočty!$R$9</f>
        <v>Do tyłu</v>
      </c>
      <c r="C243" t="str">
        <f>výpočty!$R$3</f>
        <v>TOP Basic - wpuszczany do przykręcenia plastikowy</v>
      </c>
      <c r="D243" s="36" t="str">
        <f>výpočty!$W$4</f>
        <v>Biały (E23)</v>
      </c>
      <c r="E243" t="s">
        <v>2130</v>
      </c>
      <c r="F243">
        <v>0</v>
      </c>
      <c r="G243" t="s">
        <v>2140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x14ac:dyDescent="0.2">
      <c r="A244" s="255" t="str">
        <f>výpočty!$R$15</f>
        <v>Poziomy (z lewej strony na prawą)</v>
      </c>
      <c r="B244" s="256" t="str">
        <f>výpočty!$R$9</f>
        <v>Do tyłu</v>
      </c>
      <c r="C244" t="str">
        <f>výpočty!$R$3</f>
        <v>TOP Basic - wpuszczany do przykręcenia plastikowy</v>
      </c>
      <c r="D244" s="36" t="str">
        <f>výpočty!$W$5</f>
        <v>Szary (E23)</v>
      </c>
      <c r="E244" t="s">
        <v>2130</v>
      </c>
      <c r="F244">
        <v>0</v>
      </c>
      <c r="G244" t="s">
        <v>2140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x14ac:dyDescent="0.2">
      <c r="A245" s="255" t="str">
        <f>výpočty!$R$15</f>
        <v>Poziomy (z lewej strony na prawą)</v>
      </c>
      <c r="B245" s="256" t="str">
        <f>výpočty!$R$9</f>
        <v>Do tyłu</v>
      </c>
      <c r="C245" t="str">
        <f>výpočty!$R$3</f>
        <v>TOP Basic - wpuszczany do przykręcenia plastikowy</v>
      </c>
      <c r="D245" s="36" t="str">
        <f>výpočty!$W$6</f>
        <v>Aluminowa plastik (E23)</v>
      </c>
      <c r="E245" t="s">
        <v>2130</v>
      </c>
      <c r="F245">
        <v>0</v>
      </c>
      <c r="G245" t="s">
        <v>2140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x14ac:dyDescent="0.2">
      <c r="A246" s="255" t="str">
        <f>výpočty!$R$15</f>
        <v>Poziomy (z lewej strony na prawą)</v>
      </c>
      <c r="B246" s="256" t="str">
        <f>výpočty!$R$9</f>
        <v>Do tyłu</v>
      </c>
      <c r="C246" t="str">
        <f>výpočty!$R$3</f>
        <v>TOP Basic - wpuszczany do przykręcenia plastikowy</v>
      </c>
      <c r="D246" s="36" t="str">
        <f>výpočty!$W$7</f>
        <v>Buk (E23)</v>
      </c>
      <c r="E246" t="s">
        <v>2130</v>
      </c>
      <c r="F246">
        <v>0</v>
      </c>
      <c r="G246" t="s">
        <v>2140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x14ac:dyDescent="0.2">
      <c r="A247" s="255" t="str">
        <f>výpočty!$R$15</f>
        <v>Poziomy (z lewej strony na prawą)</v>
      </c>
      <c r="B247" s="256" t="str">
        <f>výpočty!$R$9</f>
        <v>Do tyłu</v>
      </c>
      <c r="C247" t="str">
        <f>výpočty!$R$3</f>
        <v>TOP Basic - wpuszczany do przykręcenia plastikowy</v>
      </c>
      <c r="D247" s="36" t="str">
        <f>výpočty!$W$8</f>
        <v>Czereśnia (E23)</v>
      </c>
      <c r="E247" t="s">
        <v>2130</v>
      </c>
      <c r="F247">
        <v>0</v>
      </c>
      <c r="G247" t="s">
        <v>2140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x14ac:dyDescent="0.2">
      <c r="A248" s="255" t="str">
        <f>výpočty!$R$15</f>
        <v>Poziomy (z lewej strony na prawą)</v>
      </c>
      <c r="B248" s="256" t="str">
        <f>výpočty!$R$9</f>
        <v>Do tyłu</v>
      </c>
      <c r="C248" t="str">
        <f>výpočty!$R$3</f>
        <v>TOP Basic - wpuszczany do przykręcenia plastikowy</v>
      </c>
      <c r="D248" s="36" t="str">
        <f>výpočty!$W$9</f>
        <v>Klon (E23)</v>
      </c>
      <c r="E248" t="s">
        <v>2130</v>
      </c>
      <c r="F248">
        <v>0</v>
      </c>
      <c r="G248" t="s">
        <v>2140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x14ac:dyDescent="0.2">
      <c r="A249" s="255" t="str">
        <f>výpočty!$R$15</f>
        <v>Poziomy (z lewej strony na prawą)</v>
      </c>
      <c r="B249" s="256" t="str">
        <f>výpočty!$R$9</f>
        <v>Do tyłu</v>
      </c>
      <c r="C249" t="str">
        <f>výpočty!$R$3</f>
        <v>TOP Basic - wpuszczany do przykręcenia plastikowy</v>
      </c>
      <c r="D249" s="36" t="str">
        <f>výpočty!$W$10</f>
        <v>Brzoza (E23)</v>
      </c>
      <c r="E249" t="s">
        <v>2130</v>
      </c>
      <c r="F249">
        <v>0</v>
      </c>
      <c r="G249" t="s">
        <v>2140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x14ac:dyDescent="0.2">
      <c r="A250" s="255" t="str">
        <f>výpočty!$R$15</f>
        <v>Poziomy (z lewej strony na prawą)</v>
      </c>
      <c r="B250" s="256" t="str">
        <f>výpočty!$R$9</f>
        <v>Do tyłu</v>
      </c>
      <c r="C250" t="str">
        <f>výpočty!$R$3</f>
        <v>TOP Basic - wpuszczany do przykręcenia plastikowy</v>
      </c>
      <c r="D250" s="36" t="str">
        <f>výpočty!$W$11</f>
        <v>Czereśnia havana (E23)</v>
      </c>
      <c r="E250" t="s">
        <v>2130</v>
      </c>
      <c r="F250">
        <v>0</v>
      </c>
      <c r="G250" t="s">
        <v>2140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x14ac:dyDescent="0.2">
      <c r="A251" s="255" t="str">
        <f>výpočty!$R$15</f>
        <v>Poziomy (z lewej strony na prawą)</v>
      </c>
      <c r="B251" s="256" t="str">
        <f>výpočty!$R$9</f>
        <v>Do tyłu</v>
      </c>
      <c r="C251" t="str">
        <f>výpočty!$R$3</f>
        <v>TOP Basic - wpuszczany do przykręcenia plastikowy</v>
      </c>
      <c r="D251" s="36" t="str">
        <f>výpočty!$W$12</f>
        <v>Calvados (E23)</v>
      </c>
      <c r="E251" t="s">
        <v>2130</v>
      </c>
      <c r="F251">
        <v>0</v>
      </c>
      <c r="G251" t="s">
        <v>2140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x14ac:dyDescent="0.2">
      <c r="A252" s="255" t="str">
        <f>výpočty!$R$15</f>
        <v>Poziomy (z lewej strony na prawą)</v>
      </c>
      <c r="B252" s="256" t="str">
        <f>výpočty!$R$9</f>
        <v>Do tyłu</v>
      </c>
      <c r="C252" t="str">
        <f>výpočty!$R$3</f>
        <v>TOP Basic - wpuszczany do przykręcenia plastikowy</v>
      </c>
      <c r="D252" s="36" t="str">
        <f>výpočty!$W$14</f>
        <v>śnieżno biala mat (E9)</v>
      </c>
      <c r="E252" s="321" t="s">
        <v>2131</v>
      </c>
      <c r="F252" s="321">
        <v>1</v>
      </c>
      <c r="G252" s="321" t="str">
        <f>Překlady!$A$142</f>
        <v>Kolor śnieżno biały w profilu E9 można łączyć jedynie z prowadzeniem Classic i systemem nawijania do tyłu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Kolor śnieżno biały w profilu E9 można łączyć jedynie z prowadzeniem Classic i systemem nawijania do tyłu</v>
      </c>
      <c r="N252">
        <f t="shared" si="11"/>
        <v>1</v>
      </c>
    </row>
    <row r="253" spans="1:14" x14ac:dyDescent="0.2">
      <c r="A253" s="255" t="str">
        <f>výpočty!$R$15</f>
        <v>Poziomy (z lewej strony na prawą)</v>
      </c>
      <c r="B253" s="256" t="str">
        <f>výpočty!$R$9</f>
        <v>Do tyłu</v>
      </c>
      <c r="C253" t="str">
        <f>výpočty!$R$3</f>
        <v>TOP Basic - wpuszczany do przykręcenia plastikowy</v>
      </c>
      <c r="D253" s="36" t="str">
        <f>výpočty!$W$15</f>
        <v>Aluminowa plastik (E4)</v>
      </c>
      <c r="E253" t="s">
        <v>2131</v>
      </c>
      <c r="F253">
        <v>1</v>
      </c>
      <c r="G253" s="321" t="str">
        <f>Překlady!$A$143</f>
        <v>Kolor aluminium plastik w profilu E4 jest idealny do poziomych rozwiązań w kombinacji z prowadzeniem Classic z systemem nawijania do tyłu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>Kolor aluminium plastik w profilu E4 jest idealny do poziomych rozwiązań w kombinacji z prowadzeniem Classic z systemem nawijania do tyłu</v>
      </c>
      <c r="N253">
        <f t="shared" si="11"/>
        <v>1</v>
      </c>
    </row>
    <row r="254" spans="1:14" x14ac:dyDescent="0.2">
      <c r="A254" s="255" t="str">
        <f>výpočty!$R$15</f>
        <v>Poziomy (z lewej strony na prawą)</v>
      </c>
      <c r="B254" s="256" t="str">
        <f>výpočty!$R$9</f>
        <v>Do tyłu</v>
      </c>
      <c r="C254" t="str">
        <f>výpočty!$R$3</f>
        <v>TOP Basic - wpuszczany do przykręcenia plastikowy</v>
      </c>
      <c r="D254" s="36">
        <f>výpočty!$W$17</f>
        <v>0</v>
      </c>
      <c r="E254" t="s">
        <v>2131</v>
      </c>
      <c r="F254">
        <v>1</v>
      </c>
      <c r="G254" s="321" t="str">
        <f>Překlady!$A$144</f>
        <v>Systemu prowadzenia TOP BASIC nie da się zastosować z roletowym profilem Metallic line. Należy wybrać wersję TOP.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Systemu prowadzenia TOP BASIC nie da się zastosować z roletowym profilem Metallic line. Należy wybrać wersję TOP.</v>
      </c>
      <c r="N254">
        <f t="shared" si="11"/>
        <v>1</v>
      </c>
    </row>
    <row r="255" spans="1:14" x14ac:dyDescent="0.2">
      <c r="A255" s="255" t="str">
        <f>výpočty!$R$15</f>
        <v>Poziomy (z lewej strony na prawą)</v>
      </c>
      <c r="B255" s="256" t="str">
        <f>výpočty!$R$9</f>
        <v>Do tyłu</v>
      </c>
      <c r="C255" t="str">
        <f>výpočty!$R$3</f>
        <v>TOP Basic - wpuszczany do przykręcenia plastikowy</v>
      </c>
      <c r="D255" s="36">
        <f>výpočty!$W$18</f>
        <v>0</v>
      </c>
      <c r="E255" t="s">
        <v>2131</v>
      </c>
      <c r="F255">
        <v>1</v>
      </c>
      <c r="G255" s="321" t="str">
        <f>Překlady!$A$144</f>
        <v>Systemu prowadzenia TOP BASIC nie da się zastosować z roletowym profilem Metallic line. Należy wybrać wersję TOP.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Systemu prowadzenia TOP BASIC nie da się zastosować z roletowym profilem Metallic line. Należy wybrać wersję TOP.</v>
      </c>
      <c r="N255">
        <f t="shared" si="11"/>
        <v>1</v>
      </c>
    </row>
    <row r="256" spans="1:14" x14ac:dyDescent="0.2">
      <c r="A256" s="255" t="str">
        <f>výpočty!$R$15</f>
        <v>Poziomy (z lewej strony na prawą)</v>
      </c>
      <c r="B256" s="256" t="str">
        <f>výpočty!$R$9</f>
        <v>Do tyłu</v>
      </c>
      <c r="C256" t="str">
        <f>výpočty!$R$3</f>
        <v>TOP Basic - wpuszczany do przykręcenia plastikowy</v>
      </c>
      <c r="D256" s="36" t="str">
        <f>výpočty!$W$19</f>
        <v>Aluminium szerokość 25 mm (metallic-line)</v>
      </c>
      <c r="E256" t="s">
        <v>2131</v>
      </c>
      <c r="F256">
        <v>1</v>
      </c>
      <c r="G256" s="321" t="str">
        <f>Překlady!$A$144</f>
        <v>Systemu prowadzenia TOP BASIC nie da się zastosować z roletowym profilem Metallic line. Należy wybrać wersję TOP.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Systemu prowadzenia TOP BASIC nie da się zastosować z roletowym profilem Metallic line. Należy wybrać wersję TOP.</v>
      </c>
      <c r="N256">
        <f t="shared" si="11"/>
        <v>1</v>
      </c>
    </row>
    <row r="257" spans="1:14" ht="13.5" thickBot="1" x14ac:dyDescent="0.25">
      <c r="A257" s="255" t="str">
        <f>výpočty!$R$15</f>
        <v>Poziomy (z lewej strony na prawą)</v>
      </c>
      <c r="B257" s="256" t="str">
        <f>výpočty!$R$9</f>
        <v>Do tyłu</v>
      </c>
      <c r="C257" t="str">
        <f>výpočty!$R$3</f>
        <v>TOP Basic - wpuszczany do przykręcenia plastikowy</v>
      </c>
      <c r="D257" s="27" t="str">
        <f>výpočty!$W$20</f>
        <v>Nierdz. szerokość 25 mm (metallic-line)</v>
      </c>
      <c r="E257" t="s">
        <v>2131</v>
      </c>
      <c r="F257">
        <v>1</v>
      </c>
      <c r="G257" s="321" t="str">
        <f>Překlady!$A$144</f>
        <v>Systemu prowadzenia TOP BASIC nie da się zastosować z roletowym profilem Metallic line. Należy wybrać wersję TOP.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Systemu prowadzenia TOP BASIC nie da się zastosować z roletowym profilem Metallic line. Należy wybrać wersję TOP.</v>
      </c>
      <c r="N257">
        <f t="shared" si="11"/>
        <v>1</v>
      </c>
    </row>
    <row r="258" spans="1:14" x14ac:dyDescent="0.2">
      <c r="A258" s="255" t="str">
        <f>výpočty!$R$15</f>
        <v>Poziomy (z lewej strony na prawą)</v>
      </c>
      <c r="B258" s="256" t="str">
        <f>výpočty!$R$9</f>
        <v>Do tyłu</v>
      </c>
      <c r="C258" t="str">
        <f>výpočty!$R$4</f>
        <v>Classic - wpuszczany do zafrezowania</v>
      </c>
      <c r="D258" s="26" t="str">
        <f>výpočty!$W$3</f>
        <v>Czarny (E23)</v>
      </c>
      <c r="E258" t="s">
        <v>2130</v>
      </c>
      <c r="F258">
        <v>0</v>
      </c>
      <c r="G258" t="s">
        <v>2140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x14ac:dyDescent="0.2">
      <c r="A259" s="255" t="str">
        <f>výpočty!$R$15</f>
        <v>Poziomy (z lewej strony na prawą)</v>
      </c>
      <c r="B259" s="256" t="str">
        <f>výpočty!$R$9</f>
        <v>Do tyłu</v>
      </c>
      <c r="C259" t="str">
        <f>výpočty!$R$4</f>
        <v>Classic - wpuszczany do zafrezowania</v>
      </c>
      <c r="D259" s="36" t="str">
        <f>výpočty!$W$4</f>
        <v>Biały (E23)</v>
      </c>
      <c r="E259" t="s">
        <v>2130</v>
      </c>
      <c r="F259">
        <v>0</v>
      </c>
      <c r="G259" t="s">
        <v>2140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x14ac:dyDescent="0.2">
      <c r="A260" s="255" t="str">
        <f>výpočty!$R$15</f>
        <v>Poziomy (z lewej strony na prawą)</v>
      </c>
      <c r="B260" s="256" t="str">
        <f>výpočty!$R$9</f>
        <v>Do tyłu</v>
      </c>
      <c r="C260" t="str">
        <f>výpočty!$R$4</f>
        <v>Classic - wpuszczany do zafrezowania</v>
      </c>
      <c r="D260" s="36" t="str">
        <f>výpočty!$W$5</f>
        <v>Szary (E23)</v>
      </c>
      <c r="E260" t="s">
        <v>2130</v>
      </c>
      <c r="F260">
        <v>0</v>
      </c>
      <c r="G260" t="s">
        <v>2140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x14ac:dyDescent="0.2">
      <c r="A261" s="255" t="str">
        <f>výpočty!$R$15</f>
        <v>Poziomy (z lewej strony na prawą)</v>
      </c>
      <c r="B261" s="256" t="str">
        <f>výpočty!$R$9</f>
        <v>Do tyłu</v>
      </c>
      <c r="C261" t="str">
        <f>výpočty!$R$4</f>
        <v>Classic - wpuszczany do zafrezowania</v>
      </c>
      <c r="D261" s="36" t="str">
        <f>výpočty!$W$6</f>
        <v>Aluminowa plastik (E23)</v>
      </c>
      <c r="E261" t="s">
        <v>2130</v>
      </c>
      <c r="F261">
        <v>0</v>
      </c>
      <c r="G261" t="s">
        <v>2140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x14ac:dyDescent="0.2">
      <c r="A262" s="255" t="str">
        <f>výpočty!$R$15</f>
        <v>Poziomy (z lewej strony na prawą)</v>
      </c>
      <c r="B262" s="256" t="str">
        <f>výpočty!$R$9</f>
        <v>Do tyłu</v>
      </c>
      <c r="C262" t="str">
        <f>výpočty!$R$4</f>
        <v>Classic - wpuszczany do zafrezowania</v>
      </c>
      <c r="D262" s="36" t="str">
        <f>výpočty!$W$7</f>
        <v>Buk (E23)</v>
      </c>
      <c r="E262" t="s">
        <v>2130</v>
      </c>
      <c r="F262">
        <v>0</v>
      </c>
      <c r="G262" t="s">
        <v>2140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x14ac:dyDescent="0.2">
      <c r="A263" s="255" t="str">
        <f>výpočty!$R$15</f>
        <v>Poziomy (z lewej strony na prawą)</v>
      </c>
      <c r="B263" s="256" t="str">
        <f>výpočty!$R$9</f>
        <v>Do tyłu</v>
      </c>
      <c r="C263" t="str">
        <f>výpočty!$R$4</f>
        <v>Classic - wpuszczany do zafrezowania</v>
      </c>
      <c r="D263" s="36" t="str">
        <f>výpočty!$W$8</f>
        <v>Czereśnia (E23)</v>
      </c>
      <c r="E263" t="s">
        <v>2130</v>
      </c>
      <c r="F263">
        <v>0</v>
      </c>
      <c r="G263" t="s">
        <v>2140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x14ac:dyDescent="0.2">
      <c r="A264" s="255" t="str">
        <f>výpočty!$R$15</f>
        <v>Poziomy (z lewej strony na prawą)</v>
      </c>
      <c r="B264" s="256" t="str">
        <f>výpočty!$R$9</f>
        <v>Do tyłu</v>
      </c>
      <c r="C264" t="str">
        <f>výpočty!$R$4</f>
        <v>Classic - wpuszczany do zafrezowania</v>
      </c>
      <c r="D264" s="36" t="str">
        <f>výpočty!$W$9</f>
        <v>Klon (E23)</v>
      </c>
      <c r="E264" t="s">
        <v>2130</v>
      </c>
      <c r="F264">
        <v>0</v>
      </c>
      <c r="G264" t="s">
        <v>2140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x14ac:dyDescent="0.2">
      <c r="A265" s="255" t="str">
        <f>výpočty!$R$15</f>
        <v>Poziomy (z lewej strony na prawą)</v>
      </c>
      <c r="B265" s="256" t="str">
        <f>výpočty!$R$9</f>
        <v>Do tyłu</v>
      </c>
      <c r="C265" t="str">
        <f>výpočty!$R$4</f>
        <v>Classic - wpuszczany do zafrezowania</v>
      </c>
      <c r="D265" s="36" t="str">
        <f>výpočty!$W$10</f>
        <v>Brzoza (E23)</v>
      </c>
      <c r="E265" t="s">
        <v>2130</v>
      </c>
      <c r="F265">
        <v>0</v>
      </c>
      <c r="G265" t="s">
        <v>2140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x14ac:dyDescent="0.2">
      <c r="A266" s="255" t="str">
        <f>výpočty!$R$15</f>
        <v>Poziomy (z lewej strony na prawą)</v>
      </c>
      <c r="B266" s="256" t="str">
        <f>výpočty!$R$9</f>
        <v>Do tyłu</v>
      </c>
      <c r="C266" t="str">
        <f>výpočty!$R$4</f>
        <v>Classic - wpuszczany do zafrezowania</v>
      </c>
      <c r="D266" s="36" t="str">
        <f>výpočty!$W$11</f>
        <v>Czereśnia havana (E23)</v>
      </c>
      <c r="E266" t="s">
        <v>2130</v>
      </c>
      <c r="F266">
        <v>0</v>
      </c>
      <c r="G266" t="s">
        <v>2140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x14ac:dyDescent="0.2">
      <c r="A267" s="255" t="str">
        <f>výpočty!$R$15</f>
        <v>Poziomy (z lewej strony na prawą)</v>
      </c>
      <c r="B267" s="256" t="str">
        <f>výpočty!$R$9</f>
        <v>Do tyłu</v>
      </c>
      <c r="C267" t="str">
        <f>výpočty!$R$4</f>
        <v>Classic - wpuszczany do zafrezowania</v>
      </c>
      <c r="D267" s="36" t="str">
        <f>výpočty!$W$12</f>
        <v>Calvados (E23)</v>
      </c>
      <c r="E267" t="s">
        <v>2130</v>
      </c>
      <c r="F267">
        <v>0</v>
      </c>
      <c r="G267" t="s">
        <v>2140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x14ac:dyDescent="0.2">
      <c r="A268" s="255" t="str">
        <f>výpočty!$R$15</f>
        <v>Poziomy (z lewej strony na prawą)</v>
      </c>
      <c r="B268" s="256" t="str">
        <f>výpočty!$R$9</f>
        <v>Do tyłu</v>
      </c>
      <c r="C268" t="str">
        <f>výpočty!$R$4</f>
        <v>Classic - wpuszczany do zafrezowania</v>
      </c>
      <c r="D268" s="350" t="str">
        <f>výpočty!$W$14</f>
        <v>śnieżno biala mat (E9)</v>
      </c>
      <c r="E268" t="s">
        <v>2130</v>
      </c>
      <c r="F268">
        <v>0</v>
      </c>
      <c r="G268" t="s">
        <v>2140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x14ac:dyDescent="0.2">
      <c r="A269" s="255" t="str">
        <f>výpočty!$R$15</f>
        <v>Poziomy (z lewej strony na prawą)</v>
      </c>
      <c r="B269" s="256" t="str">
        <f>výpočty!$R$9</f>
        <v>Do tyłu</v>
      </c>
      <c r="C269" t="str">
        <f>výpočty!$R$4</f>
        <v>Classic - wpuszczany do zafrezowania</v>
      </c>
      <c r="D269" s="36" t="str">
        <f>výpočty!$W$15</f>
        <v>Aluminowa plastik (E4)</v>
      </c>
      <c r="E269" s="321" t="s">
        <v>2130</v>
      </c>
      <c r="F269" s="321">
        <v>0</v>
      </c>
      <c r="G269" s="321" t="s">
        <v>2140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x14ac:dyDescent="0.2">
      <c r="A270" s="255" t="str">
        <f>výpočty!$R$15</f>
        <v>Poziomy (z lewej strony na prawą)</v>
      </c>
      <c r="B270" s="256" t="str">
        <f>výpočty!$R$9</f>
        <v>Do tyłu</v>
      </c>
      <c r="C270" t="str">
        <f>výpočty!$R$4</f>
        <v>Classic - wpuszczany do zafrezowania</v>
      </c>
      <c r="D270" s="36">
        <f>výpočty!$W$17</f>
        <v>0</v>
      </c>
      <c r="E270" t="s">
        <v>2130</v>
      </c>
      <c r="F270">
        <v>0</v>
      </c>
      <c r="G270" t="s">
        <v>2140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x14ac:dyDescent="0.2">
      <c r="A271" s="255" t="str">
        <f>výpočty!$R$15</f>
        <v>Poziomy (z lewej strony na prawą)</v>
      </c>
      <c r="B271" s="256" t="str">
        <f>výpočty!$R$9</f>
        <v>Do tyłu</v>
      </c>
      <c r="C271" t="str">
        <f>výpočty!$R$4</f>
        <v>Classic - wpuszczany do zafrezowania</v>
      </c>
      <c r="D271" s="36">
        <f>výpočty!$W$18</f>
        <v>0</v>
      </c>
      <c r="E271" t="s">
        <v>2130</v>
      </c>
      <c r="F271">
        <v>0</v>
      </c>
      <c r="G271" t="s">
        <v>2140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x14ac:dyDescent="0.2">
      <c r="A272" s="255" t="str">
        <f>výpočty!$R$15</f>
        <v>Poziomy (z lewej strony na prawą)</v>
      </c>
      <c r="B272" s="256" t="str">
        <f>výpočty!$R$9</f>
        <v>Do tyłu</v>
      </c>
      <c r="C272" t="str">
        <f>výpočty!$R$4</f>
        <v>Classic - wpuszczany do zafrezowania</v>
      </c>
      <c r="D272" s="36" t="str">
        <f>výpočty!$W$19</f>
        <v>Aluminium szerokość 25 mm (metallic-line)</v>
      </c>
      <c r="E272" t="s">
        <v>2130</v>
      </c>
      <c r="F272">
        <v>0</v>
      </c>
      <c r="G272" t="s">
        <v>2140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3.5" thickBot="1" x14ac:dyDescent="0.25">
      <c r="A273" s="255" t="str">
        <f>výpočty!$R$15</f>
        <v>Poziomy (z lewej strony na prawą)</v>
      </c>
      <c r="B273" s="256" t="str">
        <f>výpočty!$R$9</f>
        <v>Do tyłu</v>
      </c>
      <c r="C273" t="str">
        <f>výpočty!$R$4</f>
        <v>Classic - wpuszczany do zafrezowania</v>
      </c>
      <c r="D273" s="27" t="str">
        <f>výpočty!$W$20</f>
        <v>Nierdz. szerokość 25 mm (metallic-line)</v>
      </c>
      <c r="E273" t="s">
        <v>2130</v>
      </c>
      <c r="F273">
        <v>0</v>
      </c>
      <c r="G273" t="s">
        <v>2140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x14ac:dyDescent="0.2">
      <c r="A274" s="255" t="str">
        <f>výpočty!$R$15</f>
        <v>Poziomy (z lewej strony na prawą)</v>
      </c>
      <c r="B274" s="256" t="str">
        <f>výpočty!$R$9</f>
        <v>Do tyłu</v>
      </c>
      <c r="C274" t="str">
        <f>výpočty!$R$5</f>
        <v>Frame - nakładany z listwą maskującą</v>
      </c>
      <c r="D274" s="26" t="str">
        <f>výpočty!$W$3</f>
        <v>Czarny (E23)</v>
      </c>
      <c r="E274" t="s">
        <v>2130</v>
      </c>
      <c r="F274">
        <v>0</v>
      </c>
      <c r="G274" t="s">
        <v>2140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x14ac:dyDescent="0.2">
      <c r="A275" s="255" t="str">
        <f>výpočty!$R$15</f>
        <v>Poziomy (z lewej strony na prawą)</v>
      </c>
      <c r="B275" s="256" t="str">
        <f>výpočty!$R$9</f>
        <v>Do tyłu</v>
      </c>
      <c r="C275" t="str">
        <f>výpočty!$R$5</f>
        <v>Frame - nakładany z listwą maskującą</v>
      </c>
      <c r="D275" s="36" t="str">
        <f>výpočty!$W$4</f>
        <v>Biały (E23)</v>
      </c>
      <c r="E275" t="s">
        <v>2130</v>
      </c>
      <c r="F275">
        <v>0</v>
      </c>
      <c r="G275" t="s">
        <v>2140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x14ac:dyDescent="0.2">
      <c r="A276" s="255" t="str">
        <f>výpočty!$R$15</f>
        <v>Poziomy (z lewej strony na prawą)</v>
      </c>
      <c r="B276" s="256" t="str">
        <f>výpočty!$R$9</f>
        <v>Do tyłu</v>
      </c>
      <c r="C276" t="str">
        <f>výpočty!$R$5</f>
        <v>Frame - nakładany z listwą maskującą</v>
      </c>
      <c r="D276" s="36" t="str">
        <f>výpočty!$W$5</f>
        <v>Szary (E23)</v>
      </c>
      <c r="E276" t="s">
        <v>2130</v>
      </c>
      <c r="F276">
        <v>0</v>
      </c>
      <c r="G276" t="s">
        <v>2140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x14ac:dyDescent="0.2">
      <c r="A277" s="255" t="str">
        <f>výpočty!$R$15</f>
        <v>Poziomy (z lewej strony na prawą)</v>
      </c>
      <c r="B277" s="256" t="str">
        <f>výpočty!$R$9</f>
        <v>Do tyłu</v>
      </c>
      <c r="C277" t="str">
        <f>výpočty!$R$5</f>
        <v>Frame - nakładany z listwą maskującą</v>
      </c>
      <c r="D277" s="36" t="str">
        <f>výpočty!$W$6</f>
        <v>Aluminowa plastik (E23)</v>
      </c>
      <c r="E277" t="s">
        <v>2130</v>
      </c>
      <c r="F277">
        <v>0</v>
      </c>
      <c r="G277" t="s">
        <v>2140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x14ac:dyDescent="0.2">
      <c r="A278" s="255" t="str">
        <f>výpočty!$R$15</f>
        <v>Poziomy (z lewej strony na prawą)</v>
      </c>
      <c r="B278" s="256" t="str">
        <f>výpočty!$R$9</f>
        <v>Do tyłu</v>
      </c>
      <c r="C278" t="str">
        <f>výpočty!$R$5</f>
        <v>Frame - nakładany z listwą maskującą</v>
      </c>
      <c r="D278" s="36" t="str">
        <f>výpočty!$W$7</f>
        <v>Buk (E23)</v>
      </c>
      <c r="E278" t="s">
        <v>2131</v>
      </c>
      <c r="F278">
        <v>0</v>
      </c>
      <c r="G278" s="321" t="str">
        <f>Překlady!$A$145</f>
        <v>Koloru BUK w profilu E23 nie da się łączyć z prowadzeniem FRAME.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Koloru BUK w profilu E23 nie da się łączyć z prowadzeniem FRAME.</v>
      </c>
      <c r="N278">
        <f t="shared" si="14"/>
        <v>0</v>
      </c>
    </row>
    <row r="279" spans="1:14" x14ac:dyDescent="0.2">
      <c r="A279" s="255" t="str">
        <f>výpočty!$R$15</f>
        <v>Poziomy (z lewej strony na prawą)</v>
      </c>
      <c r="B279" s="256" t="str">
        <f>výpočty!$R$9</f>
        <v>Do tyłu</v>
      </c>
      <c r="C279" t="str">
        <f>výpočty!$R$5</f>
        <v>Frame - nakładany z listwą maskującą</v>
      </c>
      <c r="D279" s="36" t="str">
        <f>výpočty!$W$8</f>
        <v>Czereśnia (E23)</v>
      </c>
      <c r="E279" t="s">
        <v>2130</v>
      </c>
      <c r="F279">
        <v>1</v>
      </c>
      <c r="G279" t="str">
        <f>Překlady!$A$176</f>
        <v>Koloru Czereśnia w profilu E23 nie da się łączyć z prowadzeniem FRAME.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Koloru Czereśnia w profilu E23 nie da się łączyć z prowadzeniem FRAME.</v>
      </c>
      <c r="N279">
        <f t="shared" si="14"/>
        <v>1</v>
      </c>
    </row>
    <row r="280" spans="1:14" x14ac:dyDescent="0.2">
      <c r="A280" s="255" t="str">
        <f>výpočty!$R$15</f>
        <v>Poziomy (z lewej strony na prawą)</v>
      </c>
      <c r="B280" s="256" t="str">
        <f>výpočty!$R$9</f>
        <v>Do tyłu</v>
      </c>
      <c r="C280" t="str">
        <f>výpočty!$R$5</f>
        <v>Frame - nakładany z listwą maskującą</v>
      </c>
      <c r="D280" s="36" t="str">
        <f>výpočty!$W$9</f>
        <v>Klon (E23)</v>
      </c>
      <c r="E280" t="s">
        <v>2130</v>
      </c>
      <c r="F280">
        <v>1</v>
      </c>
      <c r="G280" t="str">
        <f>Překlady!$A$177</f>
        <v>Koloru Klon w profilu E23 nie da się łączyć z prowadzeniem FRAME.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Koloru Klon w profilu E23 nie da się łączyć z prowadzeniem FRAME.</v>
      </c>
      <c r="N280">
        <f t="shared" si="14"/>
        <v>1</v>
      </c>
    </row>
    <row r="281" spans="1:14" x14ac:dyDescent="0.2">
      <c r="A281" s="255" t="str">
        <f>výpočty!$R$15</f>
        <v>Poziomy (z lewej strony na prawą)</v>
      </c>
      <c r="B281" s="256" t="str">
        <f>výpočty!$R$9</f>
        <v>Do tyłu</v>
      </c>
      <c r="C281" t="str">
        <f>výpočty!$R$5</f>
        <v>Frame - nakładany z listwą maskującą</v>
      </c>
      <c r="D281" s="36" t="str">
        <f>výpočty!$W$10</f>
        <v>Brzoza (E23)</v>
      </c>
      <c r="E281" t="s">
        <v>2130</v>
      </c>
      <c r="F281">
        <v>1</v>
      </c>
      <c r="G281" t="str">
        <f>Překlady!$A$175</f>
        <v>Koloru Brzoza w profilu E23 nie da się łączyć z prowadzeniem FRAME.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Koloru Brzoza w profilu E23 nie da się łączyć z prowadzeniem FRAME.</v>
      </c>
      <c r="N281">
        <f t="shared" si="14"/>
        <v>1</v>
      </c>
    </row>
    <row r="282" spans="1:14" x14ac:dyDescent="0.2">
      <c r="A282" s="255" t="str">
        <f>výpočty!$R$15</f>
        <v>Poziomy (z lewej strony na prawą)</v>
      </c>
      <c r="B282" s="256" t="str">
        <f>výpočty!$R$9</f>
        <v>Do tyłu</v>
      </c>
      <c r="C282" t="str">
        <f>výpočty!$R$5</f>
        <v>Frame - nakładany z listwą maskującą</v>
      </c>
      <c r="D282" s="36" t="str">
        <f>výpočty!$W$11</f>
        <v>Czereśnia havana (E23)</v>
      </c>
      <c r="E282" t="s">
        <v>2130</v>
      </c>
      <c r="F282">
        <v>1</v>
      </c>
      <c r="G282" t="str">
        <f>Překlady!$A$170</f>
        <v>Koloru Czereśnia havana w profilu E23 nie da się łączyć z prowadzeniem FRAME.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Koloru Czereśnia havana w profilu E23 nie da się łączyć z prowadzeniem FRAME.</v>
      </c>
      <c r="N282">
        <f t="shared" si="14"/>
        <v>1</v>
      </c>
    </row>
    <row r="283" spans="1:14" x14ac:dyDescent="0.2">
      <c r="A283" s="255" t="str">
        <f>výpočty!$R$15</f>
        <v>Poziomy (z lewej strony na prawą)</v>
      </c>
      <c r="B283" s="256" t="str">
        <f>výpočty!$R$9</f>
        <v>Do tyłu</v>
      </c>
      <c r="C283" t="str">
        <f>výpočty!$R$5</f>
        <v>Frame - nakładany z listwą maskującą</v>
      </c>
      <c r="D283" s="36" t="str">
        <f>výpočty!$W$12</f>
        <v>Calvados (E23)</v>
      </c>
      <c r="E283" t="s">
        <v>2130</v>
      </c>
      <c r="F283">
        <v>0</v>
      </c>
      <c r="G283" t="s">
        <v>2140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x14ac:dyDescent="0.2">
      <c r="A284" s="255" t="str">
        <f>výpočty!$R$15</f>
        <v>Poziomy (z lewej strony na prawą)</v>
      </c>
      <c r="B284" s="256" t="str">
        <f>výpočty!$R$9</f>
        <v>Do tyłu</v>
      </c>
      <c r="C284" t="str">
        <f>výpočty!$R$5</f>
        <v>Frame - nakładany z listwą maskującą</v>
      </c>
      <c r="D284" s="36" t="str">
        <f>výpočty!$W$14</f>
        <v>śnieżno biala mat (E9)</v>
      </c>
      <c r="E284" s="321" t="s">
        <v>2131</v>
      </c>
      <c r="F284" s="321">
        <v>1</v>
      </c>
      <c r="G284" s="321" t="str">
        <f>Překlady!$A$142</f>
        <v>Kolor śnieżno biały w profilu E9 można łączyć jedynie z prowadzeniem Classic i systemem nawijania do tyłu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Kolor śnieżno biały w profilu E9 można łączyć jedynie z prowadzeniem Classic i systemem nawijania do tyłu</v>
      </c>
      <c r="N284">
        <f t="shared" si="14"/>
        <v>1</v>
      </c>
    </row>
    <row r="285" spans="1:14" x14ac:dyDescent="0.2">
      <c r="A285" s="255" t="str">
        <f>výpočty!$R$15</f>
        <v>Poziomy (z lewej strony na prawą)</v>
      </c>
      <c r="B285" s="256" t="str">
        <f>výpočty!$R$9</f>
        <v>Do tyłu</v>
      </c>
      <c r="C285" t="str">
        <f>výpočty!$R$5</f>
        <v>Frame - nakładany z listwą maskującą</v>
      </c>
      <c r="D285" s="36" t="str">
        <f>výpočty!$W$15</f>
        <v>Aluminowa plastik (E4)</v>
      </c>
      <c r="E285" t="s">
        <v>2131</v>
      </c>
      <c r="F285">
        <v>1</v>
      </c>
      <c r="G285" s="321" t="str">
        <f>Překlady!$A$143</f>
        <v>Kolor aluminium plastik w profilu E4 jest idealny do poziomych rozwiązań w kombinacji z prowadzeniem Classic z systemem nawijania do tyłu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>Kolor aluminium plastik w profilu E4 jest idealny do poziomych rozwiązań w kombinacji z prowadzeniem Classic z systemem nawijania do tyłu</v>
      </c>
      <c r="N285">
        <f t="shared" si="14"/>
        <v>1</v>
      </c>
    </row>
    <row r="286" spans="1:14" x14ac:dyDescent="0.2">
      <c r="A286" s="255" t="str">
        <f>výpočty!$R$15</f>
        <v>Poziomy (z lewej strony na prawą)</v>
      </c>
      <c r="B286" s="256" t="str">
        <f>výpočty!$R$9</f>
        <v>Do tyłu</v>
      </c>
      <c r="C286" t="str">
        <f>výpočty!$R$5</f>
        <v>Frame - nakładany z listwą maskującą</v>
      </c>
      <c r="D286" s="36">
        <f>výpočty!$W$17</f>
        <v>0</v>
      </c>
      <c r="E286" t="s">
        <v>2130</v>
      </c>
      <c r="F286">
        <v>0</v>
      </c>
      <c r="G286" t="s">
        <v>2140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x14ac:dyDescent="0.2">
      <c r="A287" s="255" t="str">
        <f>výpočty!$R$15</f>
        <v>Poziomy (z lewej strony na prawą)</v>
      </c>
      <c r="B287" s="256" t="str">
        <f>výpočty!$R$9</f>
        <v>Do tyłu</v>
      </c>
      <c r="C287" t="str">
        <f>výpočty!$R$5</f>
        <v>Frame - nakładany z listwą maskującą</v>
      </c>
      <c r="D287" s="36">
        <f>výpočty!$W$18</f>
        <v>0</v>
      </c>
      <c r="E287" t="s">
        <v>2130</v>
      </c>
      <c r="F287">
        <v>0</v>
      </c>
      <c r="G287" t="s">
        <v>2140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x14ac:dyDescent="0.2">
      <c r="A288" s="255" t="str">
        <f>výpočty!$R$15</f>
        <v>Poziomy (z lewej strony na prawą)</v>
      </c>
      <c r="B288" s="256" t="str">
        <f>výpočty!$R$9</f>
        <v>Do tyłu</v>
      </c>
      <c r="C288" t="str">
        <f>výpočty!$R$5</f>
        <v>Frame - nakładany z listwą maskującą</v>
      </c>
      <c r="D288" s="36" t="str">
        <f>výpočty!$W$19</f>
        <v>Aluminium szerokość 25 mm (metallic-line)</v>
      </c>
      <c r="E288" t="s">
        <v>2130</v>
      </c>
      <c r="F288">
        <v>0</v>
      </c>
      <c r="G288" t="s">
        <v>2140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3.5" thickBot="1" x14ac:dyDescent="0.25">
      <c r="A289" s="255" t="str">
        <f>výpočty!$R$15</f>
        <v>Poziomy (z lewej strony na prawą)</v>
      </c>
      <c r="B289" s="256" t="str">
        <f>výpočty!$R$9</f>
        <v>Do tyłu</v>
      </c>
      <c r="C289" t="str">
        <f>výpočty!$R$5</f>
        <v>Frame - nakładany z listwą maskującą</v>
      </c>
      <c r="D289" s="27" t="str">
        <f>výpočty!$W$20</f>
        <v>Nierdz. szerokość 25 mm (metallic-line)</v>
      </c>
      <c r="E289" t="s">
        <v>2130</v>
      </c>
      <c r="F289">
        <v>0</v>
      </c>
      <c r="G289" t="s">
        <v>2140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x14ac:dyDescent="0.2">
      <c r="A290" s="255" t="str">
        <f>výpočty!$R$15</f>
        <v>Poziomy (z lewej strony na prawą)</v>
      </c>
      <c r="B290" s="256" t="str">
        <f>výpočty!$R$9</f>
        <v>Do tyłu</v>
      </c>
      <c r="C290" t="str">
        <f>výpočty!$R$6</f>
        <v>TOP - wpuszczany do przykręcenia metalowy z listwą maskującą</v>
      </c>
      <c r="D290" s="26" t="str">
        <f>výpočty!$W$3</f>
        <v>Czarny (E23)</v>
      </c>
      <c r="E290" t="s">
        <v>2130</v>
      </c>
      <c r="F290">
        <v>0</v>
      </c>
      <c r="G290" t="s">
        <v>2140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x14ac:dyDescent="0.2">
      <c r="A291" s="255" t="str">
        <f>výpočty!$R$15</f>
        <v>Poziomy (z lewej strony na prawą)</v>
      </c>
      <c r="B291" s="256" t="str">
        <f>výpočty!$R$9</f>
        <v>Do tyłu</v>
      </c>
      <c r="C291" t="str">
        <f>výpočty!$R$6</f>
        <v>TOP - wpuszczany do przykręcenia metalowy z listwą maskującą</v>
      </c>
      <c r="D291" s="36" t="str">
        <f>výpočty!$W$4</f>
        <v>Biały (E23)</v>
      </c>
      <c r="E291" t="s">
        <v>2130</v>
      </c>
      <c r="F291">
        <v>0</v>
      </c>
      <c r="G291" t="s">
        <v>2140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x14ac:dyDescent="0.2">
      <c r="A292" s="255" t="str">
        <f>výpočty!$R$15</f>
        <v>Poziomy (z lewej strony na prawą)</v>
      </c>
      <c r="B292" s="256" t="str">
        <f>výpočty!$R$9</f>
        <v>Do tyłu</v>
      </c>
      <c r="C292" t="str">
        <f>výpočty!$R$6</f>
        <v>TOP - wpuszczany do przykręcenia metalowy z listwą maskującą</v>
      </c>
      <c r="D292" s="36" t="str">
        <f>výpočty!$W$5</f>
        <v>Szary (E23)</v>
      </c>
      <c r="E292" t="s">
        <v>2130</v>
      </c>
      <c r="F292">
        <v>0</v>
      </c>
      <c r="G292" t="s">
        <v>2140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x14ac:dyDescent="0.2">
      <c r="A293" s="255" t="str">
        <f>výpočty!$R$15</f>
        <v>Poziomy (z lewej strony na prawą)</v>
      </c>
      <c r="B293" s="256" t="str">
        <f>výpočty!$R$9</f>
        <v>Do tyłu</v>
      </c>
      <c r="C293" t="str">
        <f>výpočty!$R$6</f>
        <v>TOP - wpuszczany do przykręcenia metalowy z listwą maskującą</v>
      </c>
      <c r="D293" s="36" t="str">
        <f>výpočty!$W$6</f>
        <v>Aluminowa plastik (E23)</v>
      </c>
      <c r="E293" t="s">
        <v>2130</v>
      </c>
      <c r="F293">
        <v>0</v>
      </c>
      <c r="G293" t="s">
        <v>2140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x14ac:dyDescent="0.2">
      <c r="A294" s="255" t="str">
        <f>výpočty!$R$15</f>
        <v>Poziomy (z lewej strony na prawą)</v>
      </c>
      <c r="B294" s="256" t="str">
        <f>výpočty!$R$9</f>
        <v>Do tyłu</v>
      </c>
      <c r="C294" t="str">
        <f>výpočty!$R$6</f>
        <v>TOP - wpuszczany do przykręcenia metalowy z listwą maskującą</v>
      </c>
      <c r="D294" s="36" t="str">
        <f>výpočty!$W$7</f>
        <v>Buk (E23)</v>
      </c>
      <c r="E294" t="s">
        <v>2130</v>
      </c>
      <c r="F294">
        <v>0</v>
      </c>
      <c r="G294" t="s">
        <v>2140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x14ac:dyDescent="0.2">
      <c r="A295" s="255" t="str">
        <f>výpočty!$R$15</f>
        <v>Poziomy (z lewej strony na prawą)</v>
      </c>
      <c r="B295" s="256" t="str">
        <f>výpočty!$R$9</f>
        <v>Do tyłu</v>
      </c>
      <c r="C295" t="str">
        <f>výpočty!$R$6</f>
        <v>TOP - wpuszczany do przykręcenia metalowy z listwą maskującą</v>
      </c>
      <c r="D295" s="36" t="str">
        <f>výpočty!$W$8</f>
        <v>Czereśnia (E23)</v>
      </c>
      <c r="E295" t="s">
        <v>2130</v>
      </c>
      <c r="F295">
        <v>0</v>
      </c>
      <c r="G295" t="s">
        <v>2140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x14ac:dyDescent="0.2">
      <c r="A296" s="255" t="str">
        <f>výpočty!$R$15</f>
        <v>Poziomy (z lewej strony na prawą)</v>
      </c>
      <c r="B296" s="256" t="str">
        <f>výpočty!$R$9</f>
        <v>Do tyłu</v>
      </c>
      <c r="C296" t="str">
        <f>výpočty!$R$6</f>
        <v>TOP - wpuszczany do przykręcenia metalowy z listwą maskującą</v>
      </c>
      <c r="D296" s="36" t="str">
        <f>výpočty!$W$9</f>
        <v>Klon (E23)</v>
      </c>
      <c r="E296" t="s">
        <v>2130</v>
      </c>
      <c r="F296">
        <v>0</v>
      </c>
      <c r="G296" t="s">
        <v>2140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x14ac:dyDescent="0.2">
      <c r="A297" s="255" t="str">
        <f>výpočty!$R$15</f>
        <v>Poziomy (z lewej strony na prawą)</v>
      </c>
      <c r="B297" s="256" t="str">
        <f>výpočty!$R$9</f>
        <v>Do tyłu</v>
      </c>
      <c r="C297" t="str">
        <f>výpočty!$R$6</f>
        <v>TOP - wpuszczany do przykręcenia metalowy z listwą maskującą</v>
      </c>
      <c r="D297" s="36" t="str">
        <f>výpočty!$W$10</f>
        <v>Brzoza (E23)</v>
      </c>
      <c r="E297" t="s">
        <v>2130</v>
      </c>
      <c r="F297">
        <v>0</v>
      </c>
      <c r="G297" t="s">
        <v>2140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x14ac:dyDescent="0.2">
      <c r="A298" s="255" t="str">
        <f>výpočty!$R$15</f>
        <v>Poziomy (z lewej strony na prawą)</v>
      </c>
      <c r="B298" s="256" t="str">
        <f>výpočty!$R$9</f>
        <v>Do tyłu</v>
      </c>
      <c r="C298" t="str">
        <f>výpočty!$R$6</f>
        <v>TOP - wpuszczany do przykręcenia metalowy z listwą maskującą</v>
      </c>
      <c r="D298" s="36" t="str">
        <f>výpočty!$W$11</f>
        <v>Czereśnia havana (E23)</v>
      </c>
      <c r="E298" t="s">
        <v>2130</v>
      </c>
      <c r="F298">
        <v>0</v>
      </c>
      <c r="G298" t="s">
        <v>2140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x14ac:dyDescent="0.2">
      <c r="A299" s="255" t="str">
        <f>výpočty!$R$15</f>
        <v>Poziomy (z lewej strony na prawą)</v>
      </c>
      <c r="B299" s="256" t="str">
        <f>výpočty!$R$9</f>
        <v>Do tyłu</v>
      </c>
      <c r="C299" t="str">
        <f>výpočty!$R$6</f>
        <v>TOP - wpuszczany do przykręcenia metalowy z listwą maskującą</v>
      </c>
      <c r="D299" s="36" t="str">
        <f>výpočty!$W$12</f>
        <v>Calvados (E23)</v>
      </c>
      <c r="E299" t="s">
        <v>2130</v>
      </c>
      <c r="F299">
        <v>0</v>
      </c>
      <c r="G299" t="s">
        <v>2140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x14ac:dyDescent="0.2">
      <c r="A300" s="255" t="str">
        <f>výpočty!$R$15</f>
        <v>Poziomy (z lewej strony na prawą)</v>
      </c>
      <c r="B300" s="256" t="str">
        <f>výpočty!$R$9</f>
        <v>Do tyłu</v>
      </c>
      <c r="C300" t="str">
        <f>výpočty!$R$6</f>
        <v>TOP - wpuszczany do przykręcenia metalowy z listwą maskującą</v>
      </c>
      <c r="D300" s="350" t="str">
        <f>výpočty!$W$14</f>
        <v>śnieżno biala mat (E9)</v>
      </c>
      <c r="E300" t="s">
        <v>2130</v>
      </c>
      <c r="F300">
        <v>0</v>
      </c>
      <c r="G300" t="s">
        <v>2140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x14ac:dyDescent="0.2">
      <c r="A301" s="255" t="str">
        <f>výpočty!$R$15</f>
        <v>Poziomy (z lewej strony na prawą)</v>
      </c>
      <c r="B301" s="256" t="str">
        <f>výpočty!$R$9</f>
        <v>Do tyłu</v>
      </c>
      <c r="C301" t="str">
        <f>výpočty!$R$6</f>
        <v>TOP - wpuszczany do przykręcenia metalowy z listwą maskującą</v>
      </c>
      <c r="D301" s="36" t="str">
        <f>výpočty!$W$15</f>
        <v>Aluminowa plastik (E4)</v>
      </c>
      <c r="E301" t="s">
        <v>2131</v>
      </c>
      <c r="F301">
        <v>1</v>
      </c>
      <c r="G301" s="321" t="str">
        <f>Překlady!$A$143</f>
        <v>Kolor aluminium plastik w profilu E4 jest idealny do poziomych rozwiązań w kombinacji z prowadzeniem Classic z systemem nawijania do tyłu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>Kolor aluminium plastik w profilu E4 jest idealny do poziomych rozwiązań w kombinacji z prowadzeniem Classic z systemem nawijania do tyłu</v>
      </c>
      <c r="N301">
        <f t="shared" si="14"/>
        <v>1</v>
      </c>
    </row>
    <row r="302" spans="1:14" x14ac:dyDescent="0.2">
      <c r="A302" s="255" t="str">
        <f>výpočty!$R$15</f>
        <v>Poziomy (z lewej strony na prawą)</v>
      </c>
      <c r="B302" s="256" t="str">
        <f>výpočty!$R$9</f>
        <v>Do tyłu</v>
      </c>
      <c r="C302" t="str">
        <f>výpočty!$R$6</f>
        <v>TOP - wpuszczany do przykręcenia metalowy z listwą maskującą</v>
      </c>
      <c r="D302" s="36">
        <f>výpočty!$W$17</f>
        <v>0</v>
      </c>
      <c r="E302" t="s">
        <v>2130</v>
      </c>
      <c r="F302">
        <v>0</v>
      </c>
      <c r="G302" t="s">
        <v>2140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x14ac:dyDescent="0.2">
      <c r="A303" s="255" t="str">
        <f>výpočty!$R$15</f>
        <v>Poziomy (z lewej strony na prawą)</v>
      </c>
      <c r="B303" s="256" t="str">
        <f>výpočty!$R$9</f>
        <v>Do tyłu</v>
      </c>
      <c r="C303" t="str">
        <f>výpočty!$R$6</f>
        <v>TOP - wpuszczany do przykręcenia metalowy z listwą maskującą</v>
      </c>
      <c r="D303" s="36">
        <f>výpočty!$W$18</f>
        <v>0</v>
      </c>
      <c r="E303" t="s">
        <v>2130</v>
      </c>
      <c r="F303">
        <v>0</v>
      </c>
      <c r="G303" t="s">
        <v>2140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x14ac:dyDescent="0.2">
      <c r="A304" s="255" t="str">
        <f>výpočty!$R$15</f>
        <v>Poziomy (z lewej strony na prawą)</v>
      </c>
      <c r="B304" s="256" t="str">
        <f>výpočty!$R$9</f>
        <v>Do tyłu</v>
      </c>
      <c r="C304" t="str">
        <f>výpočty!$R$6</f>
        <v>TOP - wpuszczany do przykręcenia metalowy z listwą maskującą</v>
      </c>
      <c r="D304" s="36" t="str">
        <f>výpočty!$W$19</f>
        <v>Aluminium szerokość 25 mm (metallic-line)</v>
      </c>
      <c r="E304" t="s">
        <v>2130</v>
      </c>
      <c r="F304">
        <v>0</v>
      </c>
      <c r="G304" t="s">
        <v>2140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3.5" thickBot="1" x14ac:dyDescent="0.25">
      <c r="A305" s="255" t="str">
        <f>výpočty!$R$15</f>
        <v>Poziomy (z lewej strony na prawą)</v>
      </c>
      <c r="B305" s="256" t="str">
        <f>výpočty!$R$9</f>
        <v>Do tyłu</v>
      </c>
      <c r="C305" t="str">
        <f>výpočty!$R$6</f>
        <v>TOP - wpuszczany do przykręcenia metalowy z listwą maskującą</v>
      </c>
      <c r="D305" s="27" t="str">
        <f>výpočty!$W$20</f>
        <v>Nierdz. szerokość 25 mm (metallic-line)</v>
      </c>
      <c r="E305" t="s">
        <v>2130</v>
      </c>
      <c r="F305">
        <v>0</v>
      </c>
      <c r="G305" t="s">
        <v>2140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x14ac:dyDescent="0.2">
      <c r="A306" s="255" t="str">
        <f>výpočty!$R$15</f>
        <v>Poziomy (z lewej strony na prawą)</v>
      </c>
      <c r="B306" s="256" t="str">
        <f>výpočty!$R$9</f>
        <v>Do tyłu</v>
      </c>
      <c r="C306" t="str">
        <f>výpočty!$R$7</f>
        <v>Nakładany z prowadzeniem metalic-line 29 mm i mechanimem C3</v>
      </c>
      <c r="D306" s="26" t="str">
        <f>výpočty!$W$3</f>
        <v>Czarny (E23)</v>
      </c>
      <c r="E306" t="s">
        <v>2131</v>
      </c>
      <c r="F306">
        <v>1</v>
      </c>
      <c r="G306" s="321" t="str">
        <f>Překlady!$A$153</f>
        <v>U systemu nawijania do tyłu i do ślimaka roletowego nie da się zastosować nakładanego systemu prowadzenia 29 mm i mechanizmu C3. Należy wybrać wersję FRAME.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U systemu nawijania do tyłu i do ślimaka roletowego nie da się zastosować nakładanego systemu prowadzenia 29 mm i mechanizmu C3. Należy wybrać wersję FRAME.</v>
      </c>
      <c r="N306">
        <f t="shared" si="14"/>
        <v>1</v>
      </c>
    </row>
    <row r="307" spans="1:14" x14ac:dyDescent="0.2">
      <c r="A307" s="255" t="str">
        <f>výpočty!$R$15</f>
        <v>Poziomy (z lewej strony na prawą)</v>
      </c>
      <c r="B307" s="256" t="str">
        <f>výpočty!$R$9</f>
        <v>Do tyłu</v>
      </c>
      <c r="C307" t="str">
        <f>výpočty!$R$7</f>
        <v>Nakładany z prowadzeniem metalic-line 29 mm i mechanimem C3</v>
      </c>
      <c r="D307" s="36" t="str">
        <f>výpočty!$W$4</f>
        <v>Biały (E23)</v>
      </c>
      <c r="E307" t="s">
        <v>2131</v>
      </c>
      <c r="F307">
        <v>1</v>
      </c>
      <c r="G307" s="321" t="str">
        <f>Překlady!$A$153</f>
        <v>U systemu nawijania do tyłu i do ślimaka roletowego nie da się zastosować nakładanego systemu prowadzenia 29 mm i mechanizmu C3. Należy wybrać wersję FRAME.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U systemu nawijania do tyłu i do ślimaka roletowego nie da się zastosować nakładanego systemu prowadzenia 29 mm i mechanizmu C3. Należy wybrać wersję FRAME.</v>
      </c>
      <c r="N307">
        <f t="shared" si="14"/>
        <v>1</v>
      </c>
    </row>
    <row r="308" spans="1:14" x14ac:dyDescent="0.2">
      <c r="A308" s="255" t="str">
        <f>výpočty!$R$15</f>
        <v>Poziomy (z lewej strony na prawą)</v>
      </c>
      <c r="B308" s="256" t="str">
        <f>výpočty!$R$9</f>
        <v>Do tyłu</v>
      </c>
      <c r="C308" t="str">
        <f>výpočty!$R$7</f>
        <v>Nakładany z prowadzeniem metalic-line 29 mm i mechanimem C3</v>
      </c>
      <c r="D308" s="36" t="str">
        <f>výpočty!$W$5</f>
        <v>Szary (E23)</v>
      </c>
      <c r="E308" t="s">
        <v>2131</v>
      </c>
      <c r="F308">
        <v>1</v>
      </c>
      <c r="G308" s="321" t="str">
        <f>Překlady!$A$153</f>
        <v>U systemu nawijania do tyłu i do ślimaka roletowego nie da się zastosować nakładanego systemu prowadzenia 29 mm i mechanizmu C3. Należy wybrać wersję FRAME.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U systemu nawijania do tyłu i do ślimaka roletowego nie da się zastosować nakładanego systemu prowadzenia 29 mm i mechanizmu C3. Należy wybrać wersję FRAME.</v>
      </c>
      <c r="N308">
        <f t="shared" si="14"/>
        <v>1</v>
      </c>
    </row>
    <row r="309" spans="1:14" x14ac:dyDescent="0.2">
      <c r="A309" s="255" t="str">
        <f>výpočty!$R$15</f>
        <v>Poziomy (z lewej strony na prawą)</v>
      </c>
      <c r="B309" s="256" t="str">
        <f>výpočty!$R$9</f>
        <v>Do tyłu</v>
      </c>
      <c r="C309" t="str">
        <f>výpočty!$R$7</f>
        <v>Nakładany z prowadzeniem metalic-line 29 mm i mechanimem C3</v>
      </c>
      <c r="D309" s="36" t="str">
        <f>výpočty!$W$6</f>
        <v>Aluminowa plastik (E23)</v>
      </c>
      <c r="E309" t="s">
        <v>2131</v>
      </c>
      <c r="F309">
        <v>1</v>
      </c>
      <c r="G309" s="321" t="str">
        <f>Překlady!$A$153</f>
        <v>U systemu nawijania do tyłu i do ślimaka roletowego nie da się zastosować nakładanego systemu prowadzenia 29 mm i mechanizmu C3. Należy wybrać wersję FRAME.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U systemu nawijania do tyłu i do ślimaka roletowego nie da się zastosować nakładanego systemu prowadzenia 29 mm i mechanizmu C3. Należy wybrać wersję FRAME.</v>
      </c>
      <c r="N309">
        <f t="shared" si="14"/>
        <v>1</v>
      </c>
    </row>
    <row r="310" spans="1:14" x14ac:dyDescent="0.2">
      <c r="A310" s="255" t="str">
        <f>výpočty!$R$15</f>
        <v>Poziomy (z lewej strony na prawą)</v>
      </c>
      <c r="B310" s="256" t="str">
        <f>výpočty!$R$9</f>
        <v>Do tyłu</v>
      </c>
      <c r="C310" t="str">
        <f>výpočty!$R$7</f>
        <v>Nakładany z prowadzeniem metalic-line 29 mm i mechanimem C3</v>
      </c>
      <c r="D310" s="36" t="str">
        <f>výpočty!$W$7</f>
        <v>Buk (E23)</v>
      </c>
      <c r="E310" t="s">
        <v>2131</v>
      </c>
      <c r="F310">
        <v>1</v>
      </c>
      <c r="G310" s="321" t="str">
        <f>Překlady!$A$153</f>
        <v>U systemu nawijania do tyłu i do ślimaka roletowego nie da się zastosować nakładanego systemu prowadzenia 29 mm i mechanizmu C3. Należy wybrać wersję FRAME.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U systemu nawijania do tyłu i do ślimaka roletowego nie da się zastosować nakładanego systemu prowadzenia 29 mm i mechanizmu C3. Należy wybrać wersję FRAME.</v>
      </c>
      <c r="N310">
        <f t="shared" si="14"/>
        <v>1</v>
      </c>
    </row>
    <row r="311" spans="1:14" x14ac:dyDescent="0.2">
      <c r="A311" s="255" t="str">
        <f>výpočty!$R$15</f>
        <v>Poziomy (z lewej strony na prawą)</v>
      </c>
      <c r="B311" s="256" t="str">
        <f>výpočty!$R$9</f>
        <v>Do tyłu</v>
      </c>
      <c r="C311" t="str">
        <f>výpočty!$R$7</f>
        <v>Nakładany z prowadzeniem metalic-line 29 mm i mechanimem C3</v>
      </c>
      <c r="D311" s="36" t="str">
        <f>výpočty!$W$8</f>
        <v>Czereśnia (E23)</v>
      </c>
      <c r="E311" t="s">
        <v>2131</v>
      </c>
      <c r="F311">
        <v>1</v>
      </c>
      <c r="G311" s="321" t="str">
        <f>Překlady!$A$153</f>
        <v>U systemu nawijania do tyłu i do ślimaka roletowego nie da się zastosować nakładanego systemu prowadzenia 29 mm i mechanizmu C3. Należy wybrać wersję FRAME.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U systemu nawijania do tyłu i do ślimaka roletowego nie da się zastosować nakładanego systemu prowadzenia 29 mm i mechanizmu C3. Należy wybrać wersję FRAME.</v>
      </c>
      <c r="N311">
        <f t="shared" si="14"/>
        <v>1</v>
      </c>
    </row>
    <row r="312" spans="1:14" x14ac:dyDescent="0.2">
      <c r="A312" s="255" t="str">
        <f>výpočty!$R$15</f>
        <v>Poziomy (z lewej strony na prawą)</v>
      </c>
      <c r="B312" s="256" t="str">
        <f>výpočty!$R$9</f>
        <v>Do tyłu</v>
      </c>
      <c r="C312" t="str">
        <f>výpočty!$R$7</f>
        <v>Nakładany z prowadzeniem metalic-line 29 mm i mechanimem C3</v>
      </c>
      <c r="D312" s="36" t="str">
        <f>výpočty!$W$9</f>
        <v>Klon (E23)</v>
      </c>
      <c r="E312" t="s">
        <v>2131</v>
      </c>
      <c r="F312">
        <v>1</v>
      </c>
      <c r="G312" s="321" t="str">
        <f>Překlady!$A$153</f>
        <v>U systemu nawijania do tyłu i do ślimaka roletowego nie da się zastosować nakładanego systemu prowadzenia 29 mm i mechanizmu C3. Należy wybrać wersję FRAME.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U systemu nawijania do tyłu i do ślimaka roletowego nie da się zastosować nakładanego systemu prowadzenia 29 mm i mechanizmu C3. Należy wybrać wersję FRAME.</v>
      </c>
      <c r="N312">
        <f t="shared" si="14"/>
        <v>1</v>
      </c>
    </row>
    <row r="313" spans="1:14" x14ac:dyDescent="0.2">
      <c r="A313" s="255" t="str">
        <f>výpočty!$R$15</f>
        <v>Poziomy (z lewej strony na prawą)</v>
      </c>
      <c r="B313" s="256" t="str">
        <f>výpočty!$R$9</f>
        <v>Do tyłu</v>
      </c>
      <c r="C313" t="str">
        <f>výpočty!$R$7</f>
        <v>Nakładany z prowadzeniem metalic-line 29 mm i mechanimem C3</v>
      </c>
      <c r="D313" s="36" t="str">
        <f>výpočty!$W$10</f>
        <v>Brzoza (E23)</v>
      </c>
      <c r="E313" t="s">
        <v>2131</v>
      </c>
      <c r="F313">
        <v>1</v>
      </c>
      <c r="G313" s="321" t="str">
        <f>Překlady!$A$153</f>
        <v>U systemu nawijania do tyłu i do ślimaka roletowego nie da się zastosować nakładanego systemu prowadzenia 29 mm i mechanizmu C3. Należy wybrać wersję FRAME.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U systemu nawijania do tyłu i do ślimaka roletowego nie da się zastosować nakładanego systemu prowadzenia 29 mm i mechanizmu C3. Należy wybrać wersję FRAME.</v>
      </c>
      <c r="N313">
        <f t="shared" si="14"/>
        <v>1</v>
      </c>
    </row>
    <row r="314" spans="1:14" x14ac:dyDescent="0.2">
      <c r="A314" s="255" t="str">
        <f>výpočty!$R$15</f>
        <v>Poziomy (z lewej strony na prawą)</v>
      </c>
      <c r="B314" s="256" t="str">
        <f>výpočty!$R$9</f>
        <v>Do tyłu</v>
      </c>
      <c r="C314" t="str">
        <f>výpočty!$R$7</f>
        <v>Nakładany z prowadzeniem metalic-line 29 mm i mechanimem C3</v>
      </c>
      <c r="D314" s="36" t="str">
        <f>výpočty!$W$11</f>
        <v>Czereśnia havana (E23)</v>
      </c>
      <c r="E314" t="s">
        <v>2131</v>
      </c>
      <c r="F314">
        <v>1</v>
      </c>
      <c r="G314" s="321" t="str">
        <f>Překlady!$A$153</f>
        <v>U systemu nawijania do tyłu i do ślimaka roletowego nie da się zastosować nakładanego systemu prowadzenia 29 mm i mechanizmu C3. Należy wybrać wersję FRAME.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U systemu nawijania do tyłu i do ślimaka roletowego nie da się zastosować nakładanego systemu prowadzenia 29 mm i mechanizmu C3. Należy wybrać wersję FRAME.</v>
      </c>
      <c r="N314">
        <f t="shared" si="14"/>
        <v>1</v>
      </c>
    </row>
    <row r="315" spans="1:14" x14ac:dyDescent="0.2">
      <c r="A315" s="255" t="str">
        <f>výpočty!$R$15</f>
        <v>Poziomy (z lewej strony na prawą)</v>
      </c>
      <c r="B315" s="256" t="str">
        <f>výpočty!$R$9</f>
        <v>Do tyłu</v>
      </c>
      <c r="C315" t="str">
        <f>výpočty!$R$7</f>
        <v>Nakładany z prowadzeniem metalic-line 29 mm i mechanimem C3</v>
      </c>
      <c r="D315" s="36" t="str">
        <f>výpočty!$W$12</f>
        <v>Calvados (E23)</v>
      </c>
      <c r="E315" t="s">
        <v>2131</v>
      </c>
      <c r="F315">
        <v>1</v>
      </c>
      <c r="G315" s="321" t="str">
        <f>Překlady!$A$153</f>
        <v>U systemu nawijania do tyłu i do ślimaka roletowego nie da się zastosować nakładanego systemu prowadzenia 29 mm i mechanizmu C3. Należy wybrać wersję FRAME.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U systemu nawijania do tyłu i do ślimaka roletowego nie da się zastosować nakładanego systemu prowadzenia 29 mm i mechanizmu C3. Należy wybrać wersję FRAME.</v>
      </c>
      <c r="N315">
        <f t="shared" si="14"/>
        <v>1</v>
      </c>
    </row>
    <row r="316" spans="1:14" x14ac:dyDescent="0.2">
      <c r="A316" s="255" t="str">
        <f>výpočty!$R$15</f>
        <v>Poziomy (z lewej strony na prawą)</v>
      </c>
      <c r="B316" s="256" t="str">
        <f>výpočty!$R$9</f>
        <v>Do tyłu</v>
      </c>
      <c r="C316" t="str">
        <f>výpočty!$R$7</f>
        <v>Nakładany z prowadzeniem metalic-line 29 mm i mechanimem C3</v>
      </c>
      <c r="D316" s="36" t="str">
        <f>výpočty!$W$14</f>
        <v>śnieżno biala mat (E9)</v>
      </c>
      <c r="E316" t="s">
        <v>2131</v>
      </c>
      <c r="F316">
        <v>1</v>
      </c>
      <c r="G316" s="321" t="str">
        <f>Překlady!$A$142</f>
        <v>Kolor śnieżno biały w profilu E9 można łączyć jedynie z prowadzeniem Classic i systemem nawijania do tyłu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Kolor śnieżno biały w profilu E9 można łączyć jedynie z prowadzeniem Classic i systemem nawijania do tyłu</v>
      </c>
      <c r="N316">
        <f t="shared" si="14"/>
        <v>1</v>
      </c>
    </row>
    <row r="317" spans="1:14" x14ac:dyDescent="0.2">
      <c r="A317" s="255" t="str">
        <f>výpočty!$R$15</f>
        <v>Poziomy (z lewej strony na prawą)</v>
      </c>
      <c r="B317" s="256" t="str">
        <f>výpočty!$R$9</f>
        <v>Do tyłu</v>
      </c>
      <c r="C317" t="str">
        <f>výpočty!$R$7</f>
        <v>Nakładany z prowadzeniem metalic-line 29 mm i mechanimem C3</v>
      </c>
      <c r="D317" s="36" t="str">
        <f>výpočty!$W$15</f>
        <v>Aluminowa plastik (E4)</v>
      </c>
      <c r="E317" t="s">
        <v>2131</v>
      </c>
      <c r="F317">
        <v>1</v>
      </c>
      <c r="G317" s="321" t="str">
        <f>Překlady!$A$143</f>
        <v>Kolor aluminium plastik w profilu E4 jest idealny do poziomych rozwiązań w kombinacji z prowadzeniem Classic z systemem nawijania do tyłu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>Kolor aluminium plastik w profilu E4 jest idealny do poziomych rozwiązań w kombinacji z prowadzeniem Classic z systemem nawijania do tyłu</v>
      </c>
      <c r="N317">
        <f t="shared" si="14"/>
        <v>1</v>
      </c>
    </row>
    <row r="318" spans="1:14" x14ac:dyDescent="0.2">
      <c r="A318" s="255" t="str">
        <f>výpočty!$R$15</f>
        <v>Poziomy (z lewej strony na prawą)</v>
      </c>
      <c r="B318" s="256" t="str">
        <f>výpočty!$R$9</f>
        <v>Do tyłu</v>
      </c>
      <c r="C318" t="str">
        <f>výpočty!$R$7</f>
        <v>Nakładany z prowadzeniem metalic-line 29 mm i mechanimem C3</v>
      </c>
      <c r="D318" s="36">
        <f>výpočty!$W$17</f>
        <v>0</v>
      </c>
      <c r="E318" t="s">
        <v>2131</v>
      </c>
      <c r="F318">
        <v>1</v>
      </c>
      <c r="G318" s="321" t="str">
        <f>Překlady!$A$153</f>
        <v>U systemu nawijania do tyłu i do ślimaka roletowego nie da się zastosować nakładanego systemu prowadzenia 29 mm i mechanizmu C3. Należy wybrać wersję FRAME.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U systemu nawijania do tyłu i do ślimaka roletowego nie da się zastosować nakładanego systemu prowadzenia 29 mm i mechanizmu C3. Należy wybrać wersję FRAME.</v>
      </c>
      <c r="N318">
        <f t="shared" si="14"/>
        <v>1</v>
      </c>
    </row>
    <row r="319" spans="1:14" x14ac:dyDescent="0.2">
      <c r="A319" s="255" t="str">
        <f>výpočty!$R$15</f>
        <v>Poziomy (z lewej strony na prawą)</v>
      </c>
      <c r="B319" s="256" t="str">
        <f>výpočty!$R$9</f>
        <v>Do tyłu</v>
      </c>
      <c r="C319" t="str">
        <f>výpočty!$R$7</f>
        <v>Nakładany z prowadzeniem metalic-line 29 mm i mechanimem C3</v>
      </c>
      <c r="D319" s="36">
        <f>výpočty!$W$18</f>
        <v>0</v>
      </c>
      <c r="E319" t="s">
        <v>2131</v>
      </c>
      <c r="F319">
        <v>1</v>
      </c>
      <c r="G319" s="321" t="str">
        <f>Překlady!$A$153</f>
        <v>U systemu nawijania do tyłu i do ślimaka roletowego nie da się zastosować nakładanego systemu prowadzenia 29 mm i mechanizmu C3. Należy wybrać wersję FRAME.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U systemu nawijania do tyłu i do ślimaka roletowego nie da się zastosować nakładanego systemu prowadzenia 29 mm i mechanizmu C3. Należy wybrać wersję FRAME.</v>
      </c>
      <c r="N319">
        <f t="shared" si="14"/>
        <v>1</v>
      </c>
    </row>
    <row r="320" spans="1:14" x14ac:dyDescent="0.2">
      <c r="A320" s="255" t="str">
        <f>výpočty!$R$15</f>
        <v>Poziomy (z lewej strony na prawą)</v>
      </c>
      <c r="B320" s="256" t="str">
        <f>výpočty!$R$9</f>
        <v>Do tyłu</v>
      </c>
      <c r="C320" t="str">
        <f>výpočty!$R$7</f>
        <v>Nakładany z prowadzeniem metalic-line 29 mm i mechanimem C3</v>
      </c>
      <c r="D320" s="36" t="str">
        <f>výpočty!$W$19</f>
        <v>Aluminium szerokość 25 mm (metallic-line)</v>
      </c>
      <c r="E320" t="s">
        <v>2131</v>
      </c>
      <c r="F320">
        <v>1</v>
      </c>
      <c r="G320" s="321" t="str">
        <f>Překlady!$A$153</f>
        <v>U systemu nawijania do tyłu i do ślimaka roletowego nie da się zastosować nakładanego systemu prowadzenia 29 mm i mechanizmu C3. Należy wybrać wersję FRAME.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U systemu nawijania do tyłu i do ślimaka roletowego nie da się zastosować nakładanego systemu prowadzenia 29 mm i mechanizmu C3. Należy wybrać wersję FRAME.</v>
      </c>
      <c r="N320">
        <f t="shared" si="14"/>
        <v>1</v>
      </c>
    </row>
    <row r="321" spans="1:14" ht="13.5" thickBot="1" x14ac:dyDescent="0.25">
      <c r="A321" s="255" t="str">
        <f>výpočty!$R$15</f>
        <v>Poziomy (z lewej strony na prawą)</v>
      </c>
      <c r="B321" s="256" t="str">
        <f>výpočty!$R$9</f>
        <v>Do tyłu</v>
      </c>
      <c r="C321" t="str">
        <f>výpočty!$R$7</f>
        <v>Nakładany z prowadzeniem metalic-line 29 mm i mechanimem C3</v>
      </c>
      <c r="D321" s="27" t="str">
        <f>výpočty!$W$20</f>
        <v>Nierdz. szerokość 25 mm (metallic-line)</v>
      </c>
      <c r="E321" t="s">
        <v>2131</v>
      </c>
      <c r="F321">
        <v>1</v>
      </c>
      <c r="G321" s="321" t="str">
        <f>Překlady!$A$153</f>
        <v>U systemu nawijania do tyłu i do ślimaka roletowego nie da się zastosować nakładanego systemu prowadzenia 29 mm i mechanizmu C3. Należy wybrać wersję FRAME.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U systemu nawijania do tyłu i do ślimaka roletowego nie da się zastosować nakładanego systemu prowadzenia 29 mm i mechanizmu C3. Należy wybrać wersję FRAME.</v>
      </c>
      <c r="N321">
        <f t="shared" si="14"/>
        <v>1</v>
      </c>
    </row>
    <row r="322" spans="1:14" x14ac:dyDescent="0.2">
      <c r="A322" s="255" t="str">
        <f>výpočty!$R$15</f>
        <v>Poziomy (z lewej strony na prawą)</v>
      </c>
      <c r="B322" s="256" t="str">
        <f>výpočty!$R$10</f>
        <v>Do ślimaka roletowego</v>
      </c>
      <c r="C322" t="str">
        <f>výpočty!$R$3</f>
        <v>TOP Basic - wpuszczany do przykręcenia plastikowy</v>
      </c>
      <c r="D322" s="26" t="str">
        <f>výpočty!$W$3</f>
        <v>Czarny (E23)</v>
      </c>
      <c r="E322" t="s">
        <v>2131</v>
      </c>
      <c r="F322">
        <v>1</v>
      </c>
      <c r="G322" t="str">
        <f>Překlady!$A$147</f>
        <v>Systemu TOP BASIC nie da się zastosować z ślimakiem roletowym. Zalecamy wybrać wersję TOP.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>Systemu TOP BASIC nie da się zastosować z ślimakiem roletowym. Zalecamy wybrać wersję TOP.</v>
      </c>
      <c r="N322">
        <f t="shared" si="14"/>
        <v>1</v>
      </c>
    </row>
    <row r="323" spans="1:14" x14ac:dyDescent="0.2">
      <c r="A323" s="255" t="str">
        <f>výpočty!$R$15</f>
        <v>Poziomy (z lewej strony na prawą)</v>
      </c>
      <c r="B323" s="256" t="str">
        <f>výpočty!$R$10</f>
        <v>Do ślimaka roletowego</v>
      </c>
      <c r="C323" t="str">
        <f>výpočty!$R$3</f>
        <v>TOP Basic - wpuszczany do przykręcenia plastikowy</v>
      </c>
      <c r="D323" s="36" t="str">
        <f>výpočty!$W$4</f>
        <v>Biały (E23)</v>
      </c>
      <c r="E323" t="s">
        <v>2131</v>
      </c>
      <c r="F323">
        <v>1</v>
      </c>
      <c r="G323" t="str">
        <f>Překlady!$A$147</f>
        <v>Systemu TOP BASIC nie da się zastosować z ślimakiem roletowym. Zalecamy wybrać wersję TOP.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>Systemu TOP BASIC nie da się zastosować z ślimakiem roletowym. Zalecamy wybrać wersję TOP.</v>
      </c>
      <c r="N323">
        <f t="shared" ref="N323:N386" si="17">F:F</f>
        <v>1</v>
      </c>
    </row>
    <row r="324" spans="1:14" x14ac:dyDescent="0.2">
      <c r="A324" s="255" t="str">
        <f>výpočty!$R$15</f>
        <v>Poziomy (z lewej strony na prawą)</v>
      </c>
      <c r="B324" s="256" t="str">
        <f>výpočty!$R$10</f>
        <v>Do ślimaka roletowego</v>
      </c>
      <c r="C324" t="str">
        <f>výpočty!$R$3</f>
        <v>TOP Basic - wpuszczany do przykręcenia plastikowy</v>
      </c>
      <c r="D324" s="36" t="str">
        <f>výpočty!$W$5</f>
        <v>Szary (E23)</v>
      </c>
      <c r="E324" t="s">
        <v>2131</v>
      </c>
      <c r="F324">
        <v>1</v>
      </c>
      <c r="G324" t="str">
        <f>Překlady!$A$147</f>
        <v>Systemu TOP BASIC nie da się zastosować z ślimakiem roletowym. Zalecamy wybrać wersję TOP.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>Systemu TOP BASIC nie da się zastosować z ślimakiem roletowym. Zalecamy wybrać wersję TOP.</v>
      </c>
      <c r="N324">
        <f t="shared" si="17"/>
        <v>1</v>
      </c>
    </row>
    <row r="325" spans="1:14" x14ac:dyDescent="0.2">
      <c r="A325" s="255" t="str">
        <f>výpočty!$R$15</f>
        <v>Poziomy (z lewej strony na prawą)</v>
      </c>
      <c r="B325" s="256" t="str">
        <f>výpočty!$R$10</f>
        <v>Do ślimaka roletowego</v>
      </c>
      <c r="C325" t="str">
        <f>výpočty!$R$3</f>
        <v>TOP Basic - wpuszczany do przykręcenia plastikowy</v>
      </c>
      <c r="D325" s="36" t="str">
        <f>výpočty!$W$6</f>
        <v>Aluminowa plastik (E23)</v>
      </c>
      <c r="E325" t="s">
        <v>2131</v>
      </c>
      <c r="F325">
        <v>1</v>
      </c>
      <c r="G325" t="str">
        <f>Překlady!$A$147</f>
        <v>Systemu TOP BASIC nie da się zastosować z ślimakiem roletowym. Zalecamy wybrać wersję TOP.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>Systemu TOP BASIC nie da się zastosować z ślimakiem roletowym. Zalecamy wybrać wersję TOP.</v>
      </c>
      <c r="N325">
        <f t="shared" si="17"/>
        <v>1</v>
      </c>
    </row>
    <row r="326" spans="1:14" x14ac:dyDescent="0.2">
      <c r="A326" s="255" t="str">
        <f>výpočty!$R$15</f>
        <v>Poziomy (z lewej strony na prawą)</v>
      </c>
      <c r="B326" s="256" t="str">
        <f>výpočty!$R$10</f>
        <v>Do ślimaka roletowego</v>
      </c>
      <c r="C326" t="str">
        <f>výpočty!$R$3</f>
        <v>TOP Basic - wpuszczany do przykręcenia plastikowy</v>
      </c>
      <c r="D326" s="36" t="str">
        <f>výpočty!$W$7</f>
        <v>Buk (E23)</v>
      </c>
      <c r="E326" t="s">
        <v>2131</v>
      </c>
      <c r="F326">
        <v>1</v>
      </c>
      <c r="G326" t="str">
        <f>Překlady!$A$147</f>
        <v>Systemu TOP BASIC nie da się zastosować z ślimakiem roletowym. Zalecamy wybrać wersję TOP.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>Systemu TOP BASIC nie da się zastosować z ślimakiem roletowym. Zalecamy wybrać wersję TOP.</v>
      </c>
      <c r="N326">
        <f t="shared" si="17"/>
        <v>1</v>
      </c>
    </row>
    <row r="327" spans="1:14" x14ac:dyDescent="0.2">
      <c r="A327" s="255" t="str">
        <f>výpočty!$R$15</f>
        <v>Poziomy (z lewej strony na prawą)</v>
      </c>
      <c r="B327" s="256" t="str">
        <f>výpočty!$R$10</f>
        <v>Do ślimaka roletowego</v>
      </c>
      <c r="C327" t="str">
        <f>výpočty!$R$3</f>
        <v>TOP Basic - wpuszczany do przykręcenia plastikowy</v>
      </c>
      <c r="D327" s="36" t="str">
        <f>výpočty!$W$8</f>
        <v>Czereśnia (E23)</v>
      </c>
      <c r="E327" t="s">
        <v>2131</v>
      </c>
      <c r="F327">
        <v>1</v>
      </c>
      <c r="G327" t="str">
        <f>Překlady!$A$147</f>
        <v>Systemu TOP BASIC nie da się zastosować z ślimakiem roletowym. Zalecamy wybrać wersję TOP.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>Systemu TOP BASIC nie da się zastosować z ślimakiem roletowym. Zalecamy wybrać wersję TOP.</v>
      </c>
      <c r="N327">
        <f t="shared" si="17"/>
        <v>1</v>
      </c>
    </row>
    <row r="328" spans="1:14" x14ac:dyDescent="0.2">
      <c r="A328" s="255" t="str">
        <f>výpočty!$R$15</f>
        <v>Poziomy (z lewej strony na prawą)</v>
      </c>
      <c r="B328" s="256" t="str">
        <f>výpočty!$R$10</f>
        <v>Do ślimaka roletowego</v>
      </c>
      <c r="C328" t="str">
        <f>výpočty!$R$3</f>
        <v>TOP Basic - wpuszczany do przykręcenia plastikowy</v>
      </c>
      <c r="D328" s="36" t="str">
        <f>výpočty!$W$9</f>
        <v>Klon (E23)</v>
      </c>
      <c r="E328" t="s">
        <v>2131</v>
      </c>
      <c r="F328">
        <v>1</v>
      </c>
      <c r="G328" t="str">
        <f>Překlady!$A$147</f>
        <v>Systemu TOP BASIC nie da się zastosować z ślimakiem roletowym. Zalecamy wybrać wersję TOP.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>Systemu TOP BASIC nie da się zastosować z ślimakiem roletowym. Zalecamy wybrać wersję TOP.</v>
      </c>
      <c r="N328">
        <f t="shared" si="17"/>
        <v>1</v>
      </c>
    </row>
    <row r="329" spans="1:14" x14ac:dyDescent="0.2">
      <c r="A329" s="255" t="str">
        <f>výpočty!$R$15</f>
        <v>Poziomy (z lewej strony na prawą)</v>
      </c>
      <c r="B329" s="256" t="str">
        <f>výpočty!$R$10</f>
        <v>Do ślimaka roletowego</v>
      </c>
      <c r="C329" t="str">
        <f>výpočty!$R$3</f>
        <v>TOP Basic - wpuszczany do przykręcenia plastikowy</v>
      </c>
      <c r="D329" s="36" t="str">
        <f>výpočty!$W$10</f>
        <v>Brzoza (E23)</v>
      </c>
      <c r="E329" t="s">
        <v>2131</v>
      </c>
      <c r="F329">
        <v>1</v>
      </c>
      <c r="G329" t="str">
        <f>Překlady!$A$147</f>
        <v>Systemu TOP BASIC nie da się zastosować z ślimakiem roletowym. Zalecamy wybrać wersję TOP.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>Systemu TOP BASIC nie da się zastosować z ślimakiem roletowym. Zalecamy wybrać wersję TOP.</v>
      </c>
      <c r="N329">
        <f t="shared" si="17"/>
        <v>1</v>
      </c>
    </row>
    <row r="330" spans="1:14" x14ac:dyDescent="0.2">
      <c r="A330" s="255" t="str">
        <f>výpočty!$R$15</f>
        <v>Poziomy (z lewej strony na prawą)</v>
      </c>
      <c r="B330" s="256" t="str">
        <f>výpočty!$R$10</f>
        <v>Do ślimaka roletowego</v>
      </c>
      <c r="C330" t="str">
        <f>výpočty!$R$3</f>
        <v>TOP Basic - wpuszczany do przykręcenia plastikowy</v>
      </c>
      <c r="D330" s="36" t="str">
        <f>výpočty!$W$11</f>
        <v>Czereśnia havana (E23)</v>
      </c>
      <c r="E330" t="s">
        <v>2131</v>
      </c>
      <c r="F330">
        <v>1</v>
      </c>
      <c r="G330" t="str">
        <f>Překlady!$A$147</f>
        <v>Systemu TOP BASIC nie da się zastosować z ślimakiem roletowym. Zalecamy wybrać wersję TOP.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>Systemu TOP BASIC nie da się zastosować z ślimakiem roletowym. Zalecamy wybrać wersję TOP.</v>
      </c>
      <c r="N330">
        <f t="shared" si="17"/>
        <v>1</v>
      </c>
    </row>
    <row r="331" spans="1:14" x14ac:dyDescent="0.2">
      <c r="A331" s="255" t="str">
        <f>výpočty!$R$15</f>
        <v>Poziomy (z lewej strony na prawą)</v>
      </c>
      <c r="B331" s="256" t="str">
        <f>výpočty!$R$10</f>
        <v>Do ślimaka roletowego</v>
      </c>
      <c r="C331" t="str">
        <f>výpočty!$R$3</f>
        <v>TOP Basic - wpuszczany do przykręcenia plastikowy</v>
      </c>
      <c r="D331" s="36" t="str">
        <f>výpočty!$W$12</f>
        <v>Calvados (E23)</v>
      </c>
      <c r="E331" t="s">
        <v>2131</v>
      </c>
      <c r="F331">
        <v>1</v>
      </c>
      <c r="G331" t="str">
        <f>Překlady!$A$147</f>
        <v>Systemu TOP BASIC nie da się zastosować z ślimakiem roletowym. Zalecamy wybrać wersję TOP.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>Systemu TOP BASIC nie da się zastosować z ślimakiem roletowym. Zalecamy wybrać wersję TOP.</v>
      </c>
      <c r="N331">
        <f t="shared" si="17"/>
        <v>1</v>
      </c>
    </row>
    <row r="332" spans="1:14" x14ac:dyDescent="0.2">
      <c r="A332" s="255" t="str">
        <f>výpočty!$R$15</f>
        <v>Poziomy (z lewej strony na prawą)</v>
      </c>
      <c r="B332" s="256" t="str">
        <f>výpočty!$R$10</f>
        <v>Do ślimaka roletowego</v>
      </c>
      <c r="C332" t="str">
        <f>výpočty!$R$3</f>
        <v>TOP Basic - wpuszczany do przykręcenia plastikowy</v>
      </c>
      <c r="D332" s="36" t="str">
        <f>výpočty!$W$14</f>
        <v>śnieżno biala mat (E9)</v>
      </c>
      <c r="E332" t="s">
        <v>2131</v>
      </c>
      <c r="F332">
        <v>1</v>
      </c>
      <c r="G332" s="321" t="str">
        <f>Překlady!$A$142</f>
        <v>Kolor śnieżno biały w profilu E9 można łączyć jedynie z prowadzeniem Classic i systemem nawijania do tyłu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Kolor śnieżno biały w profilu E9 można łączyć jedynie z prowadzeniem Classic i systemem nawijania do tyłu</v>
      </c>
      <c r="N332">
        <f t="shared" si="17"/>
        <v>1</v>
      </c>
    </row>
    <row r="333" spans="1:14" x14ac:dyDescent="0.2">
      <c r="A333" s="255" t="str">
        <f>výpočty!$R$15</f>
        <v>Poziomy (z lewej strony na prawą)</v>
      </c>
      <c r="B333" s="256" t="str">
        <f>výpočty!$R$10</f>
        <v>Do ślimaka roletowego</v>
      </c>
      <c r="C333" t="str">
        <f>výpočty!$R$3</f>
        <v>TOP Basic - wpuszczany do przykręcenia plastikowy</v>
      </c>
      <c r="D333" s="36" t="str">
        <f>výpočty!$W$15</f>
        <v>Aluminowa plastik (E4)</v>
      </c>
      <c r="E333" t="s">
        <v>2131</v>
      </c>
      <c r="F333">
        <v>1</v>
      </c>
      <c r="G333" s="321" t="str">
        <f>Překlady!$A$143</f>
        <v>Kolor aluminium plastik w profilu E4 jest idealny do poziomych rozwiązań w kombinacji z prowadzeniem Classic z systemem nawijania do tyłu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>Kolor aluminium plastik w profilu E4 jest idealny do poziomych rozwiązań w kombinacji z prowadzeniem Classic z systemem nawijania do tyłu</v>
      </c>
      <c r="N333">
        <f t="shared" si="17"/>
        <v>1</v>
      </c>
    </row>
    <row r="334" spans="1:14" x14ac:dyDescent="0.2">
      <c r="A334" s="255" t="str">
        <f>výpočty!$R$15</f>
        <v>Poziomy (z lewej strony na prawą)</v>
      </c>
      <c r="B334" s="256" t="str">
        <f>výpočty!$R$10</f>
        <v>Do ślimaka roletowego</v>
      </c>
      <c r="C334" t="str">
        <f>výpočty!$R$3</f>
        <v>TOP Basic - wpuszczany do przykręcenia plastikowy</v>
      </c>
      <c r="D334" s="36">
        <f>výpočty!$W$17</f>
        <v>0</v>
      </c>
      <c r="E334" t="s">
        <v>2131</v>
      </c>
      <c r="F334">
        <v>1</v>
      </c>
      <c r="G334" t="str">
        <f>Překlady!$A$147</f>
        <v>Systemu TOP BASIC nie da się zastosować z ślimakiem roletowym. Zalecamy wybrać wersję TOP.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>Systemu TOP BASIC nie da się zastosować z ślimakiem roletowym. Zalecamy wybrać wersję TOP.</v>
      </c>
      <c r="N334">
        <f t="shared" si="17"/>
        <v>1</v>
      </c>
    </row>
    <row r="335" spans="1:14" x14ac:dyDescent="0.2">
      <c r="A335" s="255" t="str">
        <f>výpočty!$R$15</f>
        <v>Poziomy (z lewej strony na prawą)</v>
      </c>
      <c r="B335" s="256" t="str">
        <f>výpočty!$R$10</f>
        <v>Do ślimaka roletowego</v>
      </c>
      <c r="C335" t="str">
        <f>výpočty!$R$3</f>
        <v>TOP Basic - wpuszczany do przykręcenia plastikowy</v>
      </c>
      <c r="D335" s="36">
        <f>výpočty!$W$18</f>
        <v>0</v>
      </c>
      <c r="E335" t="s">
        <v>2131</v>
      </c>
      <c r="F335">
        <v>1</v>
      </c>
      <c r="G335" t="str">
        <f>Překlady!$A$147</f>
        <v>Systemu TOP BASIC nie da się zastosować z ślimakiem roletowym. Zalecamy wybrać wersję TOP.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>Systemu TOP BASIC nie da się zastosować z ślimakiem roletowym. Zalecamy wybrać wersję TOP.</v>
      </c>
      <c r="N335">
        <f t="shared" si="17"/>
        <v>1</v>
      </c>
    </row>
    <row r="336" spans="1:14" x14ac:dyDescent="0.2">
      <c r="A336" s="255" t="str">
        <f>výpočty!$R$15</f>
        <v>Poziomy (z lewej strony na prawą)</v>
      </c>
      <c r="B336" s="256" t="str">
        <f>výpočty!$R$10</f>
        <v>Do ślimaka roletowego</v>
      </c>
      <c r="C336" t="str">
        <f>výpočty!$R$3</f>
        <v>TOP Basic - wpuszczany do przykręcenia plastikowy</v>
      </c>
      <c r="D336" s="36" t="str">
        <f>výpočty!$W$19</f>
        <v>Aluminium szerokość 25 mm (metallic-line)</v>
      </c>
      <c r="E336" t="s">
        <v>2131</v>
      </c>
      <c r="F336">
        <v>1</v>
      </c>
      <c r="G336" t="str">
        <f>Překlady!$A$147</f>
        <v>Systemu TOP BASIC nie da się zastosować z ślimakiem roletowym. Zalecamy wybrać wersję TOP.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>Systemu TOP BASIC nie da się zastosować z ślimakiem roletowym. Zalecamy wybrać wersję TOP.</v>
      </c>
      <c r="N336">
        <f t="shared" si="17"/>
        <v>1</v>
      </c>
    </row>
    <row r="337" spans="1:14" ht="13.5" thickBot="1" x14ac:dyDescent="0.25">
      <c r="A337" s="255" t="str">
        <f>výpočty!$R$15</f>
        <v>Poziomy (z lewej strony na prawą)</v>
      </c>
      <c r="B337" s="256" t="str">
        <f>výpočty!$R$10</f>
        <v>Do ślimaka roletowego</v>
      </c>
      <c r="C337" t="str">
        <f>výpočty!$R$3</f>
        <v>TOP Basic - wpuszczany do przykręcenia plastikowy</v>
      </c>
      <c r="D337" s="27" t="str">
        <f>výpočty!$W$20</f>
        <v>Nierdz. szerokość 25 mm (metallic-line)</v>
      </c>
      <c r="E337" t="s">
        <v>2131</v>
      </c>
      <c r="F337">
        <v>1</v>
      </c>
      <c r="G337" t="str">
        <f>Překlady!$A$147</f>
        <v>Systemu TOP BASIC nie da się zastosować z ślimakiem roletowym. Zalecamy wybrać wersję TOP.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>Systemu TOP BASIC nie da się zastosować z ślimakiem roletowym. Zalecamy wybrać wersję TOP.</v>
      </c>
      <c r="N337">
        <f t="shared" si="17"/>
        <v>1</v>
      </c>
    </row>
    <row r="338" spans="1:14" x14ac:dyDescent="0.2">
      <c r="A338" s="255" t="str">
        <f>výpočty!$R$15</f>
        <v>Poziomy (z lewej strony na prawą)</v>
      </c>
      <c r="B338" s="256" t="str">
        <f>výpočty!$R$10</f>
        <v>Do ślimaka roletowego</v>
      </c>
      <c r="C338" t="str">
        <f>výpočty!$R$4</f>
        <v>Classic - wpuszczany do zafrezowania</v>
      </c>
      <c r="D338" s="26" t="str">
        <f>výpočty!$W$3</f>
        <v>Czarny (E23)</v>
      </c>
      <c r="E338" t="s">
        <v>2130</v>
      </c>
      <c r="F338">
        <v>0</v>
      </c>
      <c r="G338" t="s">
        <v>2140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x14ac:dyDescent="0.2">
      <c r="A339" s="255" t="str">
        <f>výpočty!$R$15</f>
        <v>Poziomy (z lewej strony na prawą)</v>
      </c>
      <c r="B339" s="256" t="str">
        <f>výpočty!$R$10</f>
        <v>Do ślimaka roletowego</v>
      </c>
      <c r="C339" t="str">
        <f>výpočty!$R$4</f>
        <v>Classic - wpuszczany do zafrezowania</v>
      </c>
      <c r="D339" s="36" t="str">
        <f>výpočty!$W$4</f>
        <v>Biały (E23)</v>
      </c>
      <c r="E339" t="s">
        <v>2130</v>
      </c>
      <c r="F339">
        <v>0</v>
      </c>
      <c r="G339" t="s">
        <v>2140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x14ac:dyDescent="0.2">
      <c r="A340" s="255" t="str">
        <f>výpočty!$R$15</f>
        <v>Poziomy (z lewej strony na prawą)</v>
      </c>
      <c r="B340" s="256" t="str">
        <f>výpočty!$R$10</f>
        <v>Do ślimaka roletowego</v>
      </c>
      <c r="C340" t="str">
        <f>výpočty!$R$4</f>
        <v>Classic - wpuszczany do zafrezowania</v>
      </c>
      <c r="D340" s="36" t="str">
        <f>výpočty!$W$5</f>
        <v>Szary (E23)</v>
      </c>
      <c r="E340" t="s">
        <v>2130</v>
      </c>
      <c r="F340">
        <v>0</v>
      </c>
      <c r="G340" t="s">
        <v>2140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x14ac:dyDescent="0.2">
      <c r="A341" s="255" t="str">
        <f>výpočty!$R$15</f>
        <v>Poziomy (z lewej strony na prawą)</v>
      </c>
      <c r="B341" s="256" t="str">
        <f>výpočty!$R$10</f>
        <v>Do ślimaka roletowego</v>
      </c>
      <c r="C341" t="str">
        <f>výpočty!$R$4</f>
        <v>Classic - wpuszczany do zafrezowania</v>
      </c>
      <c r="D341" s="36" t="str">
        <f>výpočty!$W$6</f>
        <v>Aluminowa plastik (E23)</v>
      </c>
      <c r="E341" t="s">
        <v>2130</v>
      </c>
      <c r="F341">
        <v>0</v>
      </c>
      <c r="G341" t="s">
        <v>2140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x14ac:dyDescent="0.2">
      <c r="A342" s="255" t="str">
        <f>výpočty!$R$15</f>
        <v>Poziomy (z lewej strony na prawą)</v>
      </c>
      <c r="B342" s="256" t="str">
        <f>výpočty!$R$10</f>
        <v>Do ślimaka roletowego</v>
      </c>
      <c r="C342" t="str">
        <f>výpočty!$R$4</f>
        <v>Classic - wpuszczany do zafrezowania</v>
      </c>
      <c r="D342" s="36" t="str">
        <f>výpočty!$W$7</f>
        <v>Buk (E23)</v>
      </c>
      <c r="E342" t="s">
        <v>2130</v>
      </c>
      <c r="F342">
        <v>0</v>
      </c>
      <c r="G342" t="s">
        <v>2140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x14ac:dyDescent="0.2">
      <c r="A343" s="255" t="str">
        <f>výpočty!$R$15</f>
        <v>Poziomy (z lewej strony na prawą)</v>
      </c>
      <c r="B343" s="256" t="str">
        <f>výpočty!$R$10</f>
        <v>Do ślimaka roletowego</v>
      </c>
      <c r="C343" t="str">
        <f>výpočty!$R$4</f>
        <v>Classic - wpuszczany do zafrezowania</v>
      </c>
      <c r="D343" s="36" t="str">
        <f>výpočty!$W$8</f>
        <v>Czereśnia (E23)</v>
      </c>
      <c r="E343" t="s">
        <v>2130</v>
      </c>
      <c r="F343">
        <v>0</v>
      </c>
      <c r="G343" t="s">
        <v>2140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x14ac:dyDescent="0.2">
      <c r="A344" s="255" t="str">
        <f>výpočty!$R$15</f>
        <v>Poziomy (z lewej strony na prawą)</v>
      </c>
      <c r="B344" s="256" t="str">
        <f>výpočty!$R$10</f>
        <v>Do ślimaka roletowego</v>
      </c>
      <c r="C344" t="str">
        <f>výpočty!$R$4</f>
        <v>Classic - wpuszczany do zafrezowania</v>
      </c>
      <c r="D344" s="36" t="str">
        <f>výpočty!$W$9</f>
        <v>Klon (E23)</v>
      </c>
      <c r="E344" t="s">
        <v>2130</v>
      </c>
      <c r="F344">
        <v>0</v>
      </c>
      <c r="G344" t="s">
        <v>2140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x14ac:dyDescent="0.2">
      <c r="A345" s="255" t="str">
        <f>výpočty!$R$15</f>
        <v>Poziomy (z lewej strony na prawą)</v>
      </c>
      <c r="B345" s="256" t="str">
        <f>výpočty!$R$10</f>
        <v>Do ślimaka roletowego</v>
      </c>
      <c r="C345" t="str">
        <f>výpočty!$R$4</f>
        <v>Classic - wpuszczany do zafrezowania</v>
      </c>
      <c r="D345" s="36" t="str">
        <f>výpočty!$W$10</f>
        <v>Brzoza (E23)</v>
      </c>
      <c r="E345" t="s">
        <v>2130</v>
      </c>
      <c r="F345">
        <v>0</v>
      </c>
      <c r="G345" t="s">
        <v>2140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x14ac:dyDescent="0.2">
      <c r="A346" s="255" t="str">
        <f>výpočty!$R$15</f>
        <v>Poziomy (z lewej strony na prawą)</v>
      </c>
      <c r="B346" s="256" t="str">
        <f>výpočty!$R$10</f>
        <v>Do ślimaka roletowego</v>
      </c>
      <c r="C346" t="str">
        <f>výpočty!$R$4</f>
        <v>Classic - wpuszczany do zafrezowania</v>
      </c>
      <c r="D346" s="36" t="str">
        <f>výpočty!$W$11</f>
        <v>Czereśnia havana (E23)</v>
      </c>
      <c r="E346" t="s">
        <v>2130</v>
      </c>
      <c r="F346">
        <v>0</v>
      </c>
      <c r="G346" t="s">
        <v>2140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x14ac:dyDescent="0.2">
      <c r="A347" s="255" t="str">
        <f>výpočty!$R$15</f>
        <v>Poziomy (z lewej strony na prawą)</v>
      </c>
      <c r="B347" s="256" t="str">
        <f>výpočty!$R$10</f>
        <v>Do ślimaka roletowego</v>
      </c>
      <c r="C347" t="str">
        <f>výpočty!$R$4</f>
        <v>Classic - wpuszczany do zafrezowania</v>
      </c>
      <c r="D347" s="36" t="str">
        <f>výpočty!$W$12</f>
        <v>Calvados (E23)</v>
      </c>
      <c r="E347" t="s">
        <v>2130</v>
      </c>
      <c r="F347">
        <v>0</v>
      </c>
      <c r="G347" t="s">
        <v>2140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x14ac:dyDescent="0.2">
      <c r="A348" s="255" t="str">
        <f>výpočty!$R$15</f>
        <v>Poziomy (z lewej strony na prawą)</v>
      </c>
      <c r="B348" s="256" t="str">
        <f>výpočty!$R$10</f>
        <v>Do ślimaka roletowego</v>
      </c>
      <c r="C348" t="str">
        <f>výpočty!$R$4</f>
        <v>Classic - wpuszczany do zafrezowania</v>
      </c>
      <c r="D348" s="350" t="str">
        <f>výpočty!$W$14</f>
        <v>śnieżno biala mat (E9)</v>
      </c>
      <c r="E348" t="s">
        <v>2130</v>
      </c>
      <c r="F348">
        <v>0</v>
      </c>
      <c r="G348" t="s">
        <v>2140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x14ac:dyDescent="0.2">
      <c r="A349" s="255" t="str">
        <f>výpočty!$R$15</f>
        <v>Poziomy (z lewej strony na prawą)</v>
      </c>
      <c r="B349" s="256" t="str">
        <f>výpočty!$R$10</f>
        <v>Do ślimaka roletowego</v>
      </c>
      <c r="C349" t="str">
        <f>výpočty!$R$4</f>
        <v>Classic - wpuszczany do zafrezowania</v>
      </c>
      <c r="D349" s="36" t="str">
        <f>výpočty!$W$15</f>
        <v>Aluminowa plastik (E4)</v>
      </c>
      <c r="E349" s="321" t="s">
        <v>2131</v>
      </c>
      <c r="F349" s="321">
        <v>1</v>
      </c>
      <c r="G349" s="321" t="str">
        <f>Překlady!$A$143</f>
        <v>Kolor aluminium plastik w profilu E4 jest idealny do poziomych rozwiązań w kombinacji z prowadzeniem Classic z systemem nawijania do tyłu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>Kolor aluminium plastik w profilu E4 jest idealny do poziomych rozwiązań w kombinacji z prowadzeniem Classic z systemem nawijania do tyłu</v>
      </c>
      <c r="N349">
        <f t="shared" si="17"/>
        <v>1</v>
      </c>
    </row>
    <row r="350" spans="1:14" x14ac:dyDescent="0.2">
      <c r="A350" s="255" t="str">
        <f>výpočty!$R$15</f>
        <v>Poziomy (z lewej strony na prawą)</v>
      </c>
      <c r="B350" s="256" t="str">
        <f>výpočty!$R$10</f>
        <v>Do ślimaka roletowego</v>
      </c>
      <c r="C350" t="str">
        <f>výpočty!$R$4</f>
        <v>Classic - wpuszczany do zafrezowania</v>
      </c>
      <c r="D350" s="36">
        <f>výpočty!$W$17</f>
        <v>0</v>
      </c>
      <c r="E350" t="s">
        <v>2130</v>
      </c>
      <c r="F350">
        <v>0</v>
      </c>
      <c r="G350" t="s">
        <v>2140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x14ac:dyDescent="0.2">
      <c r="A351" s="255" t="str">
        <f>výpočty!$R$15</f>
        <v>Poziomy (z lewej strony na prawą)</v>
      </c>
      <c r="B351" s="256" t="str">
        <f>výpočty!$R$10</f>
        <v>Do ślimaka roletowego</v>
      </c>
      <c r="C351" t="str">
        <f>výpočty!$R$4</f>
        <v>Classic - wpuszczany do zafrezowania</v>
      </c>
      <c r="D351" s="36">
        <f>výpočty!$W$18</f>
        <v>0</v>
      </c>
      <c r="E351" t="s">
        <v>2130</v>
      </c>
      <c r="F351">
        <v>0</v>
      </c>
      <c r="G351" t="s">
        <v>2140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x14ac:dyDescent="0.2">
      <c r="A352" s="255" t="str">
        <f>výpočty!$R$15</f>
        <v>Poziomy (z lewej strony na prawą)</v>
      </c>
      <c r="B352" s="256" t="str">
        <f>výpočty!$R$10</f>
        <v>Do ślimaka roletowego</v>
      </c>
      <c r="C352" t="str">
        <f>výpočty!$R$4</f>
        <v>Classic - wpuszczany do zafrezowania</v>
      </c>
      <c r="D352" s="36" t="str">
        <f>výpočty!$W$19</f>
        <v>Aluminium szerokość 25 mm (metallic-line)</v>
      </c>
      <c r="E352" t="s">
        <v>2130</v>
      </c>
      <c r="F352">
        <v>0</v>
      </c>
      <c r="G352" t="s">
        <v>2140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3.5" thickBot="1" x14ac:dyDescent="0.25">
      <c r="A353" s="255" t="str">
        <f>výpočty!$R$15</f>
        <v>Poziomy (z lewej strony na prawą)</v>
      </c>
      <c r="B353" s="256" t="str">
        <f>výpočty!$R$10</f>
        <v>Do ślimaka roletowego</v>
      </c>
      <c r="C353" t="str">
        <f>výpočty!$R$4</f>
        <v>Classic - wpuszczany do zafrezowania</v>
      </c>
      <c r="D353" s="27" t="str">
        <f>výpočty!$W$20</f>
        <v>Nierdz. szerokość 25 mm (metallic-line)</v>
      </c>
      <c r="E353" t="s">
        <v>2130</v>
      </c>
      <c r="F353">
        <v>0</v>
      </c>
      <c r="G353" t="s">
        <v>2140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x14ac:dyDescent="0.2">
      <c r="A354" s="255" t="str">
        <f>výpočty!$R$15</f>
        <v>Poziomy (z lewej strony na prawą)</v>
      </c>
      <c r="B354" s="256" t="str">
        <f>výpočty!$R$10</f>
        <v>Do ślimaka roletowego</v>
      </c>
      <c r="C354" t="str">
        <f>výpočty!$R$5</f>
        <v>Frame - nakładany z listwą maskującą</v>
      </c>
      <c r="D354" s="26" t="str">
        <f>výpočty!$W$3</f>
        <v>Czarny (E23)</v>
      </c>
      <c r="E354" t="s">
        <v>2130</v>
      </c>
      <c r="F354">
        <v>0</v>
      </c>
      <c r="G354" t="s">
        <v>2140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x14ac:dyDescent="0.2">
      <c r="A355" s="255" t="str">
        <f>výpočty!$R$15</f>
        <v>Poziomy (z lewej strony na prawą)</v>
      </c>
      <c r="B355" s="256" t="str">
        <f>výpočty!$R$10</f>
        <v>Do ślimaka roletowego</v>
      </c>
      <c r="C355" t="str">
        <f>výpočty!$R$5</f>
        <v>Frame - nakładany z listwą maskującą</v>
      </c>
      <c r="D355" s="36" t="str">
        <f>výpočty!$W$4</f>
        <v>Biały (E23)</v>
      </c>
      <c r="E355" t="s">
        <v>2130</v>
      </c>
      <c r="F355">
        <v>0</v>
      </c>
      <c r="G355" t="s">
        <v>2140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x14ac:dyDescent="0.2">
      <c r="A356" s="255" t="str">
        <f>výpočty!$R$15</f>
        <v>Poziomy (z lewej strony na prawą)</v>
      </c>
      <c r="B356" s="256" t="str">
        <f>výpočty!$R$10</f>
        <v>Do ślimaka roletowego</v>
      </c>
      <c r="C356" t="str">
        <f>výpočty!$R$5</f>
        <v>Frame - nakładany z listwą maskującą</v>
      </c>
      <c r="D356" s="36" t="str">
        <f>výpočty!$W$5</f>
        <v>Szary (E23)</v>
      </c>
      <c r="E356" t="s">
        <v>2130</v>
      </c>
      <c r="F356">
        <v>0</v>
      </c>
      <c r="G356" t="s">
        <v>2140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x14ac:dyDescent="0.2">
      <c r="A357" s="255" t="str">
        <f>výpočty!$R$15</f>
        <v>Poziomy (z lewej strony na prawą)</v>
      </c>
      <c r="B357" s="256" t="str">
        <f>výpočty!$R$10</f>
        <v>Do ślimaka roletowego</v>
      </c>
      <c r="C357" t="str">
        <f>výpočty!$R$5</f>
        <v>Frame - nakładany z listwą maskującą</v>
      </c>
      <c r="D357" s="36" t="str">
        <f>výpočty!$W$6</f>
        <v>Aluminowa plastik (E23)</v>
      </c>
      <c r="E357" t="s">
        <v>2130</v>
      </c>
      <c r="F357">
        <v>0</v>
      </c>
      <c r="G357" t="s">
        <v>2140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x14ac:dyDescent="0.2">
      <c r="A358" s="255" t="str">
        <f>výpočty!$R$15</f>
        <v>Poziomy (z lewej strony na prawą)</v>
      </c>
      <c r="B358" s="256" t="str">
        <f>výpočty!$R$10</f>
        <v>Do ślimaka roletowego</v>
      </c>
      <c r="C358" t="str">
        <f>výpočty!$R$5</f>
        <v>Frame - nakładany z listwą maskującą</v>
      </c>
      <c r="D358" s="36" t="str">
        <f>výpočty!$W$7</f>
        <v>Buk (E23)</v>
      </c>
      <c r="E358" t="s">
        <v>2131</v>
      </c>
      <c r="F358">
        <v>1</v>
      </c>
      <c r="G358" s="321" t="str">
        <f>Překlady!$A$145</f>
        <v>Koloru BUK w profilu E23 nie da się łączyć z prowadzeniem FRAME.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Koloru BUK w profilu E23 nie da się łączyć z prowadzeniem FRAME.</v>
      </c>
      <c r="N358">
        <f t="shared" si="17"/>
        <v>1</v>
      </c>
    </row>
    <row r="359" spans="1:14" x14ac:dyDescent="0.2">
      <c r="A359" s="255" t="str">
        <f>výpočty!$R$15</f>
        <v>Poziomy (z lewej strony na prawą)</v>
      </c>
      <c r="B359" s="256" t="str">
        <f>výpočty!$R$10</f>
        <v>Do ślimaka roletowego</v>
      </c>
      <c r="C359" t="str">
        <f>výpočty!$R$5</f>
        <v>Frame - nakładany z listwą maskującą</v>
      </c>
      <c r="D359" s="36" t="str">
        <f>výpočty!$W$8</f>
        <v>Czereśnia (E23)</v>
      </c>
      <c r="E359" t="s">
        <v>2130</v>
      </c>
      <c r="F359">
        <v>1</v>
      </c>
      <c r="G359" t="str">
        <f>Překlady!$A$176</f>
        <v>Koloru Czereśnia w profilu E23 nie da się łączyć z prowadzeniem FRAME.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Koloru Czereśnia w profilu E23 nie da się łączyć z prowadzeniem FRAME.</v>
      </c>
      <c r="N359">
        <f t="shared" si="17"/>
        <v>1</v>
      </c>
    </row>
    <row r="360" spans="1:14" x14ac:dyDescent="0.2">
      <c r="A360" s="255" t="str">
        <f>výpočty!$R$15</f>
        <v>Poziomy (z lewej strony na prawą)</v>
      </c>
      <c r="B360" s="256" t="str">
        <f>výpočty!$R$10</f>
        <v>Do ślimaka roletowego</v>
      </c>
      <c r="C360" t="str">
        <f>výpočty!$R$5</f>
        <v>Frame - nakładany z listwą maskującą</v>
      </c>
      <c r="D360" s="36" t="str">
        <f>výpočty!$W$9</f>
        <v>Klon (E23)</v>
      </c>
      <c r="E360" t="s">
        <v>2130</v>
      </c>
      <c r="F360">
        <v>1</v>
      </c>
      <c r="G360" t="str">
        <f>Překlady!$A$177</f>
        <v>Koloru Klon w profilu E23 nie da się łączyć z prowadzeniem FRAME.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Koloru Klon w profilu E23 nie da się łączyć z prowadzeniem FRAME.</v>
      </c>
      <c r="N360">
        <f t="shared" si="17"/>
        <v>1</v>
      </c>
    </row>
    <row r="361" spans="1:14" x14ac:dyDescent="0.2">
      <c r="A361" s="255" t="str">
        <f>výpočty!$R$15</f>
        <v>Poziomy (z lewej strony na prawą)</v>
      </c>
      <c r="B361" s="256" t="str">
        <f>výpočty!$R$10</f>
        <v>Do ślimaka roletowego</v>
      </c>
      <c r="C361" t="str">
        <f>výpočty!$R$5</f>
        <v>Frame - nakładany z listwą maskującą</v>
      </c>
      <c r="D361" s="36" t="str">
        <f>výpočty!$W$10</f>
        <v>Brzoza (E23)</v>
      </c>
      <c r="E361" t="s">
        <v>2130</v>
      </c>
      <c r="F361">
        <v>1</v>
      </c>
      <c r="G361" t="str">
        <f>Překlady!$A$175</f>
        <v>Koloru Brzoza w profilu E23 nie da się łączyć z prowadzeniem FRAME.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Koloru Brzoza w profilu E23 nie da się łączyć z prowadzeniem FRAME.</v>
      </c>
      <c r="N361">
        <f t="shared" si="17"/>
        <v>1</v>
      </c>
    </row>
    <row r="362" spans="1:14" x14ac:dyDescent="0.2">
      <c r="A362" s="255" t="str">
        <f>výpočty!$R$15</f>
        <v>Poziomy (z lewej strony na prawą)</v>
      </c>
      <c r="B362" s="256" t="str">
        <f>výpočty!$R$10</f>
        <v>Do ślimaka roletowego</v>
      </c>
      <c r="C362" t="str">
        <f>výpočty!$R$5</f>
        <v>Frame - nakładany z listwą maskującą</v>
      </c>
      <c r="D362" s="36" t="str">
        <f>výpočty!$W$11</f>
        <v>Czereśnia havana (E23)</v>
      </c>
      <c r="E362" t="s">
        <v>2130</v>
      </c>
      <c r="F362">
        <v>1</v>
      </c>
      <c r="G362" t="str">
        <f>Překlady!$A$170</f>
        <v>Koloru Czereśnia havana w profilu E23 nie da się łączyć z prowadzeniem FRAME.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Koloru Czereśnia havana w profilu E23 nie da się łączyć z prowadzeniem FRAME.</v>
      </c>
      <c r="N362">
        <f t="shared" si="17"/>
        <v>1</v>
      </c>
    </row>
    <row r="363" spans="1:14" x14ac:dyDescent="0.2">
      <c r="A363" s="255" t="str">
        <f>výpočty!$R$15</f>
        <v>Poziomy (z lewej strony na prawą)</v>
      </c>
      <c r="B363" s="256" t="str">
        <f>výpočty!$R$10</f>
        <v>Do ślimaka roletowego</v>
      </c>
      <c r="C363" t="str">
        <f>výpočty!$R$5</f>
        <v>Frame - nakładany z listwą maskującą</v>
      </c>
      <c r="D363" s="36" t="str">
        <f>výpočty!$W$12</f>
        <v>Calvados (E23)</v>
      </c>
      <c r="E363" t="s">
        <v>2130</v>
      </c>
      <c r="F363">
        <v>0</v>
      </c>
      <c r="G363" t="s">
        <v>2140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x14ac:dyDescent="0.2">
      <c r="A364" s="255" t="str">
        <f>výpočty!$R$15</f>
        <v>Poziomy (z lewej strony na prawą)</v>
      </c>
      <c r="B364" s="256" t="str">
        <f>výpočty!$R$10</f>
        <v>Do ślimaka roletowego</v>
      </c>
      <c r="C364" t="str">
        <f>výpočty!$R$5</f>
        <v>Frame - nakładany z listwą maskującą</v>
      </c>
      <c r="D364" s="36" t="str">
        <f>výpočty!$W$14</f>
        <v>śnieżno biala mat (E9)</v>
      </c>
      <c r="E364" s="321" t="s">
        <v>2131</v>
      </c>
      <c r="F364" s="321">
        <v>1</v>
      </c>
      <c r="G364" s="321" t="str">
        <f>Překlady!$A$142</f>
        <v>Kolor śnieżno biały w profilu E9 można łączyć jedynie z prowadzeniem Classic i systemem nawijania do tyłu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Kolor śnieżno biały w profilu E9 można łączyć jedynie z prowadzeniem Classic i systemem nawijania do tyłu</v>
      </c>
      <c r="N364">
        <f t="shared" si="17"/>
        <v>1</v>
      </c>
    </row>
    <row r="365" spans="1:14" x14ac:dyDescent="0.2">
      <c r="A365" s="255" t="str">
        <f>výpočty!$R$15</f>
        <v>Poziomy (z lewej strony na prawą)</v>
      </c>
      <c r="B365" s="256" t="str">
        <f>výpočty!$R$10</f>
        <v>Do ślimaka roletowego</v>
      </c>
      <c r="C365" t="str">
        <f>výpočty!$R$5</f>
        <v>Frame - nakładany z listwą maskującą</v>
      </c>
      <c r="D365" s="36" t="str">
        <f>výpočty!$W$15</f>
        <v>Aluminowa plastik (E4)</v>
      </c>
      <c r="E365" t="s">
        <v>2131</v>
      </c>
      <c r="F365">
        <v>1</v>
      </c>
      <c r="G365" s="321" t="str">
        <f>Překlady!$A$143</f>
        <v>Kolor aluminium plastik w profilu E4 jest idealny do poziomych rozwiązań w kombinacji z prowadzeniem Classic z systemem nawijania do tyłu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>Kolor aluminium plastik w profilu E4 jest idealny do poziomych rozwiązań w kombinacji z prowadzeniem Classic z systemem nawijania do tyłu</v>
      </c>
      <c r="N365">
        <f t="shared" si="17"/>
        <v>1</v>
      </c>
    </row>
    <row r="366" spans="1:14" x14ac:dyDescent="0.2">
      <c r="A366" s="255" t="str">
        <f>výpočty!$R$15</f>
        <v>Poziomy (z lewej strony na prawą)</v>
      </c>
      <c r="B366" s="256" t="str">
        <f>výpočty!$R$10</f>
        <v>Do ślimaka roletowego</v>
      </c>
      <c r="C366" t="str">
        <f>výpočty!$R$5</f>
        <v>Frame - nakładany z listwą maskującą</v>
      </c>
      <c r="D366" s="36">
        <f>výpočty!$W$17</f>
        <v>0</v>
      </c>
      <c r="E366" t="s">
        <v>2130</v>
      </c>
      <c r="F366">
        <v>0</v>
      </c>
      <c r="G366" t="s">
        <v>2140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x14ac:dyDescent="0.2">
      <c r="A367" s="255" t="str">
        <f>výpočty!$R$15</f>
        <v>Poziomy (z lewej strony na prawą)</v>
      </c>
      <c r="B367" s="256" t="str">
        <f>výpočty!$R$10</f>
        <v>Do ślimaka roletowego</v>
      </c>
      <c r="C367" t="str">
        <f>výpočty!$R$5</f>
        <v>Frame - nakładany z listwą maskującą</v>
      </c>
      <c r="D367" s="36">
        <f>výpočty!$W$18</f>
        <v>0</v>
      </c>
      <c r="E367" t="s">
        <v>2130</v>
      </c>
      <c r="F367">
        <v>0</v>
      </c>
      <c r="G367" t="s">
        <v>2140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x14ac:dyDescent="0.2">
      <c r="A368" s="255" t="str">
        <f>výpočty!$R$15</f>
        <v>Poziomy (z lewej strony na prawą)</v>
      </c>
      <c r="B368" s="256" t="str">
        <f>výpočty!$R$10</f>
        <v>Do ślimaka roletowego</v>
      </c>
      <c r="C368" t="str">
        <f>výpočty!$R$5</f>
        <v>Frame - nakładany z listwą maskującą</v>
      </c>
      <c r="D368" s="36" t="str">
        <f>výpočty!$W$19</f>
        <v>Aluminium szerokość 25 mm (metallic-line)</v>
      </c>
      <c r="E368" t="s">
        <v>2130</v>
      </c>
      <c r="F368">
        <v>0</v>
      </c>
      <c r="G368" t="s">
        <v>2140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3.5" thickBot="1" x14ac:dyDescent="0.25">
      <c r="A369" s="255" t="str">
        <f>výpočty!$R$15</f>
        <v>Poziomy (z lewej strony na prawą)</v>
      </c>
      <c r="B369" s="256" t="str">
        <f>výpočty!$R$10</f>
        <v>Do ślimaka roletowego</v>
      </c>
      <c r="C369" t="str">
        <f>výpočty!$R$5</f>
        <v>Frame - nakładany z listwą maskującą</v>
      </c>
      <c r="D369" s="27" t="str">
        <f>výpočty!$W$20</f>
        <v>Nierdz. szerokość 25 mm (metallic-line)</v>
      </c>
      <c r="E369" t="s">
        <v>2130</v>
      </c>
      <c r="F369">
        <v>0</v>
      </c>
      <c r="G369" t="s">
        <v>2140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x14ac:dyDescent="0.2">
      <c r="A370" s="255" t="str">
        <f>výpočty!$R$15</f>
        <v>Poziomy (z lewej strony na prawą)</v>
      </c>
      <c r="B370" s="256" t="str">
        <f>výpočty!$R$10</f>
        <v>Do ślimaka roletowego</v>
      </c>
      <c r="C370" t="str">
        <f>výpočty!$R$6</f>
        <v>TOP - wpuszczany do przykręcenia metalowy z listwą maskującą</v>
      </c>
      <c r="D370" s="26" t="str">
        <f>výpočty!$W$3</f>
        <v>Czarny (E23)</v>
      </c>
      <c r="E370" t="s">
        <v>2130</v>
      </c>
      <c r="F370">
        <v>0</v>
      </c>
      <c r="G370" t="s">
        <v>2140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x14ac:dyDescent="0.2">
      <c r="A371" s="255" t="str">
        <f>výpočty!$R$15</f>
        <v>Poziomy (z lewej strony na prawą)</v>
      </c>
      <c r="B371" s="256" t="str">
        <f>výpočty!$R$10</f>
        <v>Do ślimaka roletowego</v>
      </c>
      <c r="C371" t="str">
        <f>výpočty!$R$6</f>
        <v>TOP - wpuszczany do przykręcenia metalowy z listwą maskującą</v>
      </c>
      <c r="D371" s="36" t="str">
        <f>výpočty!$W$4</f>
        <v>Biały (E23)</v>
      </c>
      <c r="E371" t="s">
        <v>2130</v>
      </c>
      <c r="F371">
        <v>0</v>
      </c>
      <c r="G371" t="s">
        <v>2140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x14ac:dyDescent="0.2">
      <c r="A372" s="255" t="str">
        <f>výpočty!$R$15</f>
        <v>Poziomy (z lewej strony na prawą)</v>
      </c>
      <c r="B372" s="256" t="str">
        <f>výpočty!$R$10</f>
        <v>Do ślimaka roletowego</v>
      </c>
      <c r="C372" t="str">
        <f>výpočty!$R$6</f>
        <v>TOP - wpuszczany do przykręcenia metalowy z listwą maskującą</v>
      </c>
      <c r="D372" s="36" t="str">
        <f>výpočty!$W$5</f>
        <v>Szary (E23)</v>
      </c>
      <c r="E372" t="s">
        <v>2130</v>
      </c>
      <c r="F372">
        <v>0</v>
      </c>
      <c r="G372" t="s">
        <v>2140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x14ac:dyDescent="0.2">
      <c r="A373" s="255" t="str">
        <f>výpočty!$R$15</f>
        <v>Poziomy (z lewej strony na prawą)</v>
      </c>
      <c r="B373" s="256" t="str">
        <f>výpočty!$R$10</f>
        <v>Do ślimaka roletowego</v>
      </c>
      <c r="C373" t="str">
        <f>výpočty!$R$6</f>
        <v>TOP - wpuszczany do przykręcenia metalowy z listwą maskującą</v>
      </c>
      <c r="D373" s="36" t="str">
        <f>výpočty!$W$6</f>
        <v>Aluminowa plastik (E23)</v>
      </c>
      <c r="E373" t="s">
        <v>2130</v>
      </c>
      <c r="F373">
        <v>0</v>
      </c>
      <c r="G373" t="s">
        <v>2140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x14ac:dyDescent="0.2">
      <c r="A374" s="255" t="str">
        <f>výpočty!$R$15</f>
        <v>Poziomy (z lewej strony na prawą)</v>
      </c>
      <c r="B374" s="256" t="str">
        <f>výpočty!$R$10</f>
        <v>Do ślimaka roletowego</v>
      </c>
      <c r="C374" t="str">
        <f>výpočty!$R$6</f>
        <v>TOP - wpuszczany do przykręcenia metalowy z listwą maskującą</v>
      </c>
      <c r="D374" s="36" t="str">
        <f>výpočty!$W$7</f>
        <v>Buk (E23)</v>
      </c>
      <c r="E374" t="s">
        <v>2130</v>
      </c>
      <c r="F374">
        <v>0</v>
      </c>
      <c r="G374" t="s">
        <v>2140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x14ac:dyDescent="0.2">
      <c r="A375" s="255" t="str">
        <f>výpočty!$R$15</f>
        <v>Poziomy (z lewej strony na prawą)</v>
      </c>
      <c r="B375" s="256" t="str">
        <f>výpočty!$R$10</f>
        <v>Do ślimaka roletowego</v>
      </c>
      <c r="C375" t="str">
        <f>výpočty!$R$6</f>
        <v>TOP - wpuszczany do przykręcenia metalowy z listwą maskującą</v>
      </c>
      <c r="D375" s="36" t="str">
        <f>výpočty!$W$8</f>
        <v>Czereśnia (E23)</v>
      </c>
      <c r="E375" t="s">
        <v>2130</v>
      </c>
      <c r="F375">
        <v>0</v>
      </c>
      <c r="G375" t="s">
        <v>2140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x14ac:dyDescent="0.2">
      <c r="A376" s="255" t="str">
        <f>výpočty!$R$15</f>
        <v>Poziomy (z lewej strony na prawą)</v>
      </c>
      <c r="B376" s="256" t="str">
        <f>výpočty!$R$10</f>
        <v>Do ślimaka roletowego</v>
      </c>
      <c r="C376" t="str">
        <f>výpočty!$R$6</f>
        <v>TOP - wpuszczany do przykręcenia metalowy z listwą maskującą</v>
      </c>
      <c r="D376" s="36" t="str">
        <f>výpočty!$W$9</f>
        <v>Klon (E23)</v>
      </c>
      <c r="E376" t="s">
        <v>2130</v>
      </c>
      <c r="F376">
        <v>0</v>
      </c>
      <c r="G376" t="s">
        <v>2140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x14ac:dyDescent="0.2">
      <c r="A377" s="255" t="str">
        <f>výpočty!$R$15</f>
        <v>Poziomy (z lewej strony na prawą)</v>
      </c>
      <c r="B377" s="256" t="str">
        <f>výpočty!$R$10</f>
        <v>Do ślimaka roletowego</v>
      </c>
      <c r="C377" t="str">
        <f>výpočty!$R$6</f>
        <v>TOP - wpuszczany do przykręcenia metalowy z listwą maskującą</v>
      </c>
      <c r="D377" s="36" t="str">
        <f>výpočty!$W$10</f>
        <v>Brzoza (E23)</v>
      </c>
      <c r="E377" t="s">
        <v>2130</v>
      </c>
      <c r="F377">
        <v>0</v>
      </c>
      <c r="G377" t="s">
        <v>2140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x14ac:dyDescent="0.2">
      <c r="A378" s="255" t="str">
        <f>výpočty!$R$15</f>
        <v>Poziomy (z lewej strony na prawą)</v>
      </c>
      <c r="B378" s="256" t="str">
        <f>výpočty!$R$10</f>
        <v>Do ślimaka roletowego</v>
      </c>
      <c r="C378" t="str">
        <f>výpočty!$R$6</f>
        <v>TOP - wpuszczany do przykręcenia metalowy z listwą maskującą</v>
      </c>
      <c r="D378" s="36" t="str">
        <f>výpočty!$W$11</f>
        <v>Czereśnia havana (E23)</v>
      </c>
      <c r="E378" t="s">
        <v>2130</v>
      </c>
      <c r="F378">
        <v>0</v>
      </c>
      <c r="G378" t="s">
        <v>2140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x14ac:dyDescent="0.2">
      <c r="A379" s="255" t="str">
        <f>výpočty!$R$15</f>
        <v>Poziomy (z lewej strony na prawą)</v>
      </c>
      <c r="B379" s="256" t="str">
        <f>výpočty!$R$10</f>
        <v>Do ślimaka roletowego</v>
      </c>
      <c r="C379" t="str">
        <f>výpočty!$R$6</f>
        <v>TOP - wpuszczany do przykręcenia metalowy z listwą maskującą</v>
      </c>
      <c r="D379" s="36" t="str">
        <f>výpočty!$W$12</f>
        <v>Calvados (E23)</v>
      </c>
      <c r="E379" t="s">
        <v>2130</v>
      </c>
      <c r="F379">
        <v>0</v>
      </c>
      <c r="G379" t="s">
        <v>2140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x14ac:dyDescent="0.2">
      <c r="A380" s="255" t="str">
        <f>výpočty!$R$15</f>
        <v>Poziomy (z lewej strony na prawą)</v>
      </c>
      <c r="B380" s="256" t="str">
        <f>výpočty!$R$10</f>
        <v>Do ślimaka roletowego</v>
      </c>
      <c r="C380" t="str">
        <f>výpočty!$R$6</f>
        <v>TOP - wpuszczany do przykręcenia metalowy z listwą maskującą</v>
      </c>
      <c r="D380" s="350" t="str">
        <f>výpočty!$W$14</f>
        <v>śnieżno biala mat (E9)</v>
      </c>
      <c r="E380" t="s">
        <v>2130</v>
      </c>
      <c r="F380">
        <v>0</v>
      </c>
      <c r="G380" t="s">
        <v>2140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x14ac:dyDescent="0.2">
      <c r="A381" s="255" t="str">
        <f>výpočty!$R$15</f>
        <v>Poziomy (z lewej strony na prawą)</v>
      </c>
      <c r="B381" s="256" t="str">
        <f>výpočty!$R$10</f>
        <v>Do ślimaka roletowego</v>
      </c>
      <c r="C381" t="str">
        <f>výpočty!$R$6</f>
        <v>TOP - wpuszczany do przykręcenia metalowy z listwą maskującą</v>
      </c>
      <c r="D381" s="36" t="str">
        <f>výpočty!$W$15</f>
        <v>Aluminowa plastik (E4)</v>
      </c>
      <c r="E381" t="s">
        <v>2131</v>
      </c>
      <c r="F381">
        <v>1</v>
      </c>
      <c r="G381" s="321" t="str">
        <f>Překlady!$A$143</f>
        <v>Kolor aluminium plastik w profilu E4 jest idealny do poziomych rozwiązań w kombinacji z prowadzeniem Classic z systemem nawijania do tyłu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>Kolor aluminium plastik w profilu E4 jest idealny do poziomych rozwiązań w kombinacji z prowadzeniem Classic z systemem nawijania do tyłu</v>
      </c>
      <c r="N381">
        <f t="shared" si="17"/>
        <v>1</v>
      </c>
    </row>
    <row r="382" spans="1:14" x14ac:dyDescent="0.2">
      <c r="A382" s="255" t="str">
        <f>výpočty!$R$15</f>
        <v>Poziomy (z lewej strony na prawą)</v>
      </c>
      <c r="B382" s="256" t="str">
        <f>výpočty!$R$10</f>
        <v>Do ślimaka roletowego</v>
      </c>
      <c r="C382" t="str">
        <f>výpočty!$R$6</f>
        <v>TOP - wpuszczany do przykręcenia metalowy z listwą maskującą</v>
      </c>
      <c r="D382" s="36">
        <f>výpočty!$W$17</f>
        <v>0</v>
      </c>
      <c r="E382" t="s">
        <v>2130</v>
      </c>
      <c r="F382">
        <v>0</v>
      </c>
      <c r="G382" t="s">
        <v>2140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x14ac:dyDescent="0.2">
      <c r="A383" s="255" t="str">
        <f>výpočty!$R$15</f>
        <v>Poziomy (z lewej strony na prawą)</v>
      </c>
      <c r="B383" s="256" t="str">
        <f>výpočty!$R$10</f>
        <v>Do ślimaka roletowego</v>
      </c>
      <c r="C383" t="str">
        <f>výpočty!$R$6</f>
        <v>TOP - wpuszczany do przykręcenia metalowy z listwą maskującą</v>
      </c>
      <c r="D383" s="36">
        <f>výpočty!$W$18</f>
        <v>0</v>
      </c>
      <c r="E383" t="s">
        <v>2130</v>
      </c>
      <c r="F383">
        <v>0</v>
      </c>
      <c r="G383" t="s">
        <v>2140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x14ac:dyDescent="0.2">
      <c r="A384" s="255" t="str">
        <f>výpočty!$R$15</f>
        <v>Poziomy (z lewej strony na prawą)</v>
      </c>
      <c r="B384" s="256" t="str">
        <f>výpočty!$R$10</f>
        <v>Do ślimaka roletowego</v>
      </c>
      <c r="C384" t="str">
        <f>výpočty!$R$6</f>
        <v>TOP - wpuszczany do przykręcenia metalowy z listwą maskującą</v>
      </c>
      <c r="D384" s="36" t="str">
        <f>výpočty!$W$19</f>
        <v>Aluminium szerokość 25 mm (metallic-line)</v>
      </c>
      <c r="E384" t="s">
        <v>2130</v>
      </c>
      <c r="F384">
        <v>0</v>
      </c>
      <c r="G384" t="s">
        <v>2140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3.5" thickBot="1" x14ac:dyDescent="0.25">
      <c r="A385" s="255" t="str">
        <f>výpočty!$R$15</f>
        <v>Poziomy (z lewej strony na prawą)</v>
      </c>
      <c r="B385" s="256" t="str">
        <f>výpočty!$R$10</f>
        <v>Do ślimaka roletowego</v>
      </c>
      <c r="C385" t="str">
        <f>výpočty!$R$6</f>
        <v>TOP - wpuszczany do przykręcenia metalowy z listwą maskującą</v>
      </c>
      <c r="D385" s="27" t="str">
        <f>výpočty!$W$20</f>
        <v>Nierdz. szerokość 25 mm (metallic-line)</v>
      </c>
      <c r="E385" t="s">
        <v>2130</v>
      </c>
      <c r="F385">
        <v>0</v>
      </c>
      <c r="G385" t="s">
        <v>2140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x14ac:dyDescent="0.2">
      <c r="A386" s="255" t="str">
        <f>výpočty!$R$15</f>
        <v>Poziomy (z lewej strony na prawą)</v>
      </c>
      <c r="B386" s="256" t="str">
        <f>výpočty!$R$10</f>
        <v>Do ślimaka roletowego</v>
      </c>
      <c r="C386" t="str">
        <f>výpočty!$R$7</f>
        <v>Nakładany z prowadzeniem metalic-line 29 mm i mechanimem C3</v>
      </c>
      <c r="D386" s="26" t="str">
        <f>výpočty!$W$3</f>
        <v>Czarny (E23)</v>
      </c>
      <c r="E386" t="s">
        <v>2131</v>
      </c>
      <c r="F386">
        <v>1</v>
      </c>
      <c r="G386" s="321" t="str">
        <f>Překlady!$A$153</f>
        <v>U systemu nawijania do tyłu i do ślimaka roletowego nie da się zastosować nakładanego systemu prowadzenia 29 mm i mechanizmu C3. Należy wybrać wersję FRAME.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U systemu nawijania do tyłu i do ślimaka roletowego nie da się zastosować nakładanego systemu prowadzenia 29 mm i mechanizmu C3. Należy wybrać wersję FRAME.</v>
      </c>
      <c r="N386">
        <f t="shared" si="17"/>
        <v>1</v>
      </c>
    </row>
    <row r="387" spans="1:14" x14ac:dyDescent="0.2">
      <c r="A387" s="255" t="str">
        <f>výpočty!$R$15</f>
        <v>Poziomy (z lewej strony na prawą)</v>
      </c>
      <c r="B387" s="256" t="str">
        <f>výpočty!$R$10</f>
        <v>Do ślimaka roletowego</v>
      </c>
      <c r="C387" t="str">
        <f>výpočty!$R$7</f>
        <v>Nakładany z prowadzeniem metalic-line 29 mm i mechanimem C3</v>
      </c>
      <c r="D387" s="36" t="str">
        <f>výpočty!$W$4</f>
        <v>Biały (E23)</v>
      </c>
      <c r="E387" t="s">
        <v>2131</v>
      </c>
      <c r="F387">
        <v>1</v>
      </c>
      <c r="G387" s="321" t="str">
        <f>Překlady!$A$153</f>
        <v>U systemu nawijania do tyłu i do ślimaka roletowego nie da się zastosować nakładanego systemu prowadzenia 29 mm i mechanizmu C3. Należy wybrać wersję FRAME.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U systemu nawijania do tyłu i do ślimaka roletowego nie da się zastosować nakładanego systemu prowadzenia 29 mm i mechanizmu C3. Należy wybrać wersję FRAME.</v>
      </c>
      <c r="N387">
        <f t="shared" ref="N387:N450" si="20">F:F</f>
        <v>1</v>
      </c>
    </row>
    <row r="388" spans="1:14" x14ac:dyDescent="0.2">
      <c r="A388" s="255" t="str">
        <f>výpočty!$R$15</f>
        <v>Poziomy (z lewej strony na prawą)</v>
      </c>
      <c r="B388" s="256" t="str">
        <f>výpočty!$R$10</f>
        <v>Do ślimaka roletowego</v>
      </c>
      <c r="C388" t="str">
        <f>výpočty!$R$7</f>
        <v>Nakładany z prowadzeniem metalic-line 29 mm i mechanimem C3</v>
      </c>
      <c r="D388" s="36" t="str">
        <f>výpočty!$W$5</f>
        <v>Szary (E23)</v>
      </c>
      <c r="E388" t="s">
        <v>2131</v>
      </c>
      <c r="F388">
        <v>1</v>
      </c>
      <c r="G388" s="321" t="str">
        <f>Překlady!$A$153</f>
        <v>U systemu nawijania do tyłu i do ślimaka roletowego nie da się zastosować nakładanego systemu prowadzenia 29 mm i mechanizmu C3. Należy wybrać wersję FRAME.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U systemu nawijania do tyłu i do ślimaka roletowego nie da się zastosować nakładanego systemu prowadzenia 29 mm i mechanizmu C3. Należy wybrać wersję FRAME.</v>
      </c>
      <c r="N388">
        <f t="shared" si="20"/>
        <v>1</v>
      </c>
    </row>
    <row r="389" spans="1:14" x14ac:dyDescent="0.2">
      <c r="A389" s="255" t="str">
        <f>výpočty!$R$15</f>
        <v>Poziomy (z lewej strony na prawą)</v>
      </c>
      <c r="B389" s="256" t="str">
        <f>výpočty!$R$10</f>
        <v>Do ślimaka roletowego</v>
      </c>
      <c r="C389" t="str">
        <f>výpočty!$R$7</f>
        <v>Nakładany z prowadzeniem metalic-line 29 mm i mechanimem C3</v>
      </c>
      <c r="D389" s="36" t="str">
        <f>výpočty!$W$6</f>
        <v>Aluminowa plastik (E23)</v>
      </c>
      <c r="E389" t="s">
        <v>2131</v>
      </c>
      <c r="F389">
        <v>1</v>
      </c>
      <c r="G389" s="321" t="str">
        <f>Překlady!$A$153</f>
        <v>U systemu nawijania do tyłu i do ślimaka roletowego nie da się zastosować nakładanego systemu prowadzenia 29 mm i mechanizmu C3. Należy wybrać wersję FRAME.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U systemu nawijania do tyłu i do ślimaka roletowego nie da się zastosować nakładanego systemu prowadzenia 29 mm i mechanizmu C3. Należy wybrać wersję FRAME.</v>
      </c>
      <c r="N389">
        <f t="shared" si="20"/>
        <v>1</v>
      </c>
    </row>
    <row r="390" spans="1:14" x14ac:dyDescent="0.2">
      <c r="A390" s="255" t="str">
        <f>výpočty!$R$15</f>
        <v>Poziomy (z lewej strony na prawą)</v>
      </c>
      <c r="B390" s="256" t="str">
        <f>výpočty!$R$10</f>
        <v>Do ślimaka roletowego</v>
      </c>
      <c r="C390" t="str">
        <f>výpočty!$R$7</f>
        <v>Nakładany z prowadzeniem metalic-line 29 mm i mechanimem C3</v>
      </c>
      <c r="D390" s="36" t="str">
        <f>výpočty!$W$7</f>
        <v>Buk (E23)</v>
      </c>
      <c r="E390" t="s">
        <v>2131</v>
      </c>
      <c r="F390">
        <v>1</v>
      </c>
      <c r="G390" s="321" t="str">
        <f>Překlady!$A$153</f>
        <v>U systemu nawijania do tyłu i do ślimaka roletowego nie da się zastosować nakładanego systemu prowadzenia 29 mm i mechanizmu C3. Należy wybrać wersję FRAME.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U systemu nawijania do tyłu i do ślimaka roletowego nie da się zastosować nakładanego systemu prowadzenia 29 mm i mechanizmu C3. Należy wybrać wersję FRAME.</v>
      </c>
      <c r="N390">
        <f t="shared" si="20"/>
        <v>1</v>
      </c>
    </row>
    <row r="391" spans="1:14" x14ac:dyDescent="0.2">
      <c r="A391" s="255" t="str">
        <f>výpočty!$R$15</f>
        <v>Poziomy (z lewej strony na prawą)</v>
      </c>
      <c r="B391" s="256" t="str">
        <f>výpočty!$R$10</f>
        <v>Do ślimaka roletowego</v>
      </c>
      <c r="C391" t="str">
        <f>výpočty!$R$7</f>
        <v>Nakładany z prowadzeniem metalic-line 29 mm i mechanimem C3</v>
      </c>
      <c r="D391" s="36" t="str">
        <f>výpočty!$W$8</f>
        <v>Czereśnia (E23)</v>
      </c>
      <c r="E391" t="s">
        <v>2131</v>
      </c>
      <c r="F391">
        <v>1</v>
      </c>
      <c r="G391" s="321" t="str">
        <f>Překlady!$A$153</f>
        <v>U systemu nawijania do tyłu i do ślimaka roletowego nie da się zastosować nakładanego systemu prowadzenia 29 mm i mechanizmu C3. Należy wybrać wersję FRAME.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U systemu nawijania do tyłu i do ślimaka roletowego nie da się zastosować nakładanego systemu prowadzenia 29 mm i mechanizmu C3. Należy wybrać wersję FRAME.</v>
      </c>
      <c r="N391">
        <f t="shared" si="20"/>
        <v>1</v>
      </c>
    </row>
    <row r="392" spans="1:14" x14ac:dyDescent="0.2">
      <c r="A392" s="255" t="str">
        <f>výpočty!$R$15</f>
        <v>Poziomy (z lewej strony na prawą)</v>
      </c>
      <c r="B392" s="256" t="str">
        <f>výpočty!$R$10</f>
        <v>Do ślimaka roletowego</v>
      </c>
      <c r="C392" t="str">
        <f>výpočty!$R$7</f>
        <v>Nakładany z prowadzeniem metalic-line 29 mm i mechanimem C3</v>
      </c>
      <c r="D392" s="36" t="str">
        <f>výpočty!$W$9</f>
        <v>Klon (E23)</v>
      </c>
      <c r="E392" t="s">
        <v>2131</v>
      </c>
      <c r="F392">
        <v>1</v>
      </c>
      <c r="G392" s="321" t="str">
        <f>Překlady!$A$153</f>
        <v>U systemu nawijania do tyłu i do ślimaka roletowego nie da się zastosować nakładanego systemu prowadzenia 29 mm i mechanizmu C3. Należy wybrać wersję FRAME.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U systemu nawijania do tyłu i do ślimaka roletowego nie da się zastosować nakładanego systemu prowadzenia 29 mm i mechanizmu C3. Należy wybrać wersję FRAME.</v>
      </c>
      <c r="N392">
        <f t="shared" si="20"/>
        <v>1</v>
      </c>
    </row>
    <row r="393" spans="1:14" x14ac:dyDescent="0.2">
      <c r="A393" s="255" t="str">
        <f>výpočty!$R$15</f>
        <v>Poziomy (z lewej strony na prawą)</v>
      </c>
      <c r="B393" s="256" t="str">
        <f>výpočty!$R$10</f>
        <v>Do ślimaka roletowego</v>
      </c>
      <c r="C393" t="str">
        <f>výpočty!$R$7</f>
        <v>Nakładany z prowadzeniem metalic-line 29 mm i mechanimem C3</v>
      </c>
      <c r="D393" s="36" t="str">
        <f>výpočty!$W$10</f>
        <v>Brzoza (E23)</v>
      </c>
      <c r="E393" t="s">
        <v>2131</v>
      </c>
      <c r="F393">
        <v>1</v>
      </c>
      <c r="G393" s="321" t="str">
        <f>Překlady!$A$153</f>
        <v>U systemu nawijania do tyłu i do ślimaka roletowego nie da się zastosować nakładanego systemu prowadzenia 29 mm i mechanizmu C3. Należy wybrać wersję FRAME.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U systemu nawijania do tyłu i do ślimaka roletowego nie da się zastosować nakładanego systemu prowadzenia 29 mm i mechanizmu C3. Należy wybrać wersję FRAME.</v>
      </c>
      <c r="N393">
        <f t="shared" si="20"/>
        <v>1</v>
      </c>
    </row>
    <row r="394" spans="1:14" x14ac:dyDescent="0.2">
      <c r="A394" s="255" t="str">
        <f>výpočty!$R$15</f>
        <v>Poziomy (z lewej strony na prawą)</v>
      </c>
      <c r="B394" s="256" t="str">
        <f>výpočty!$R$10</f>
        <v>Do ślimaka roletowego</v>
      </c>
      <c r="C394" t="str">
        <f>výpočty!$R$7</f>
        <v>Nakładany z prowadzeniem metalic-line 29 mm i mechanimem C3</v>
      </c>
      <c r="D394" s="36" t="str">
        <f>výpočty!$W$11</f>
        <v>Czereśnia havana (E23)</v>
      </c>
      <c r="E394" t="s">
        <v>2131</v>
      </c>
      <c r="F394">
        <v>1</v>
      </c>
      <c r="G394" s="321" t="str">
        <f>Překlady!$A$153</f>
        <v>U systemu nawijania do tyłu i do ślimaka roletowego nie da się zastosować nakładanego systemu prowadzenia 29 mm i mechanizmu C3. Należy wybrać wersję FRAME.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U systemu nawijania do tyłu i do ślimaka roletowego nie da się zastosować nakładanego systemu prowadzenia 29 mm i mechanizmu C3. Należy wybrać wersję FRAME.</v>
      </c>
      <c r="N394">
        <f t="shared" si="20"/>
        <v>1</v>
      </c>
    </row>
    <row r="395" spans="1:14" x14ac:dyDescent="0.2">
      <c r="A395" s="255" t="str">
        <f>výpočty!$R$15</f>
        <v>Poziomy (z lewej strony na prawą)</v>
      </c>
      <c r="B395" s="256" t="str">
        <f>výpočty!$R$10</f>
        <v>Do ślimaka roletowego</v>
      </c>
      <c r="C395" t="str">
        <f>výpočty!$R$7</f>
        <v>Nakładany z prowadzeniem metalic-line 29 mm i mechanimem C3</v>
      </c>
      <c r="D395" s="36" t="str">
        <f>výpočty!$W$12</f>
        <v>Calvados (E23)</v>
      </c>
      <c r="E395" t="s">
        <v>2131</v>
      </c>
      <c r="F395">
        <v>1</v>
      </c>
      <c r="G395" s="321" t="str">
        <f>Překlady!$A$153</f>
        <v>U systemu nawijania do tyłu i do ślimaka roletowego nie da się zastosować nakładanego systemu prowadzenia 29 mm i mechanizmu C3. Należy wybrać wersję FRAME.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U systemu nawijania do tyłu i do ślimaka roletowego nie da się zastosować nakładanego systemu prowadzenia 29 mm i mechanizmu C3. Należy wybrać wersję FRAME.</v>
      </c>
      <c r="N395">
        <f t="shared" si="20"/>
        <v>1</v>
      </c>
    </row>
    <row r="396" spans="1:14" x14ac:dyDescent="0.2">
      <c r="A396" s="255" t="str">
        <f>výpočty!$R$15</f>
        <v>Poziomy (z lewej strony na prawą)</v>
      </c>
      <c r="B396" s="256" t="str">
        <f>výpočty!$R$10</f>
        <v>Do ślimaka roletowego</v>
      </c>
      <c r="C396" t="str">
        <f>výpočty!$R$7</f>
        <v>Nakładany z prowadzeniem metalic-line 29 mm i mechanimem C3</v>
      </c>
      <c r="D396" s="36" t="str">
        <f>výpočty!$W$14</f>
        <v>śnieżno biala mat (E9)</v>
      </c>
      <c r="E396" t="s">
        <v>2131</v>
      </c>
      <c r="F396">
        <v>1</v>
      </c>
      <c r="G396" s="321" t="str">
        <f>Překlady!$A$142</f>
        <v>Kolor śnieżno biały w profilu E9 można łączyć jedynie z prowadzeniem Classic i systemem nawijania do tyłu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Kolor śnieżno biały w profilu E9 można łączyć jedynie z prowadzeniem Classic i systemem nawijania do tyłu</v>
      </c>
      <c r="N396">
        <f t="shared" si="20"/>
        <v>1</v>
      </c>
    </row>
    <row r="397" spans="1:14" x14ac:dyDescent="0.2">
      <c r="A397" s="255" t="str">
        <f>výpočty!$R$15</f>
        <v>Poziomy (z lewej strony na prawą)</v>
      </c>
      <c r="B397" s="256" t="str">
        <f>výpočty!$R$10</f>
        <v>Do ślimaka roletowego</v>
      </c>
      <c r="C397" t="str">
        <f>výpočty!$R$7</f>
        <v>Nakładany z prowadzeniem metalic-line 29 mm i mechanimem C3</v>
      </c>
      <c r="D397" s="36" t="str">
        <f>výpočty!$W$15</f>
        <v>Aluminowa plastik (E4)</v>
      </c>
      <c r="E397" t="s">
        <v>2131</v>
      </c>
      <c r="F397">
        <v>1</v>
      </c>
      <c r="G397" s="321" t="str">
        <f>Překlady!$A$143</f>
        <v>Kolor aluminium plastik w profilu E4 jest idealny do poziomych rozwiązań w kombinacji z prowadzeniem Classic z systemem nawijania do tyłu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>Kolor aluminium plastik w profilu E4 jest idealny do poziomych rozwiązań w kombinacji z prowadzeniem Classic z systemem nawijania do tyłu</v>
      </c>
      <c r="N397">
        <f t="shared" si="20"/>
        <v>1</v>
      </c>
    </row>
    <row r="398" spans="1:14" x14ac:dyDescent="0.2">
      <c r="A398" s="255" t="str">
        <f>výpočty!$R$15</f>
        <v>Poziomy (z lewej strony na prawą)</v>
      </c>
      <c r="B398" s="256" t="str">
        <f>výpočty!$R$10</f>
        <v>Do ślimaka roletowego</v>
      </c>
      <c r="C398" t="str">
        <f>výpočty!$R$7</f>
        <v>Nakładany z prowadzeniem metalic-line 29 mm i mechanimem C3</v>
      </c>
      <c r="D398" s="36">
        <f>výpočty!$W$17</f>
        <v>0</v>
      </c>
      <c r="E398" t="s">
        <v>2131</v>
      </c>
      <c r="F398">
        <v>1</v>
      </c>
      <c r="G398" s="321" t="str">
        <f>Překlady!$A$153</f>
        <v>U systemu nawijania do tyłu i do ślimaka roletowego nie da się zastosować nakładanego systemu prowadzenia 29 mm i mechanizmu C3. Należy wybrać wersję FRAME.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U systemu nawijania do tyłu i do ślimaka roletowego nie da się zastosować nakładanego systemu prowadzenia 29 mm i mechanizmu C3. Należy wybrać wersję FRAME.</v>
      </c>
      <c r="N398">
        <f t="shared" si="20"/>
        <v>1</v>
      </c>
    </row>
    <row r="399" spans="1:14" x14ac:dyDescent="0.2">
      <c r="A399" s="255" t="str">
        <f>výpočty!$R$15</f>
        <v>Poziomy (z lewej strony na prawą)</v>
      </c>
      <c r="B399" s="256" t="str">
        <f>výpočty!$R$10</f>
        <v>Do ślimaka roletowego</v>
      </c>
      <c r="C399" t="str">
        <f>výpočty!$R$7</f>
        <v>Nakładany z prowadzeniem metalic-line 29 mm i mechanimem C3</v>
      </c>
      <c r="D399" s="36">
        <f>výpočty!$W$18</f>
        <v>0</v>
      </c>
      <c r="E399" t="s">
        <v>2131</v>
      </c>
      <c r="F399">
        <v>1</v>
      </c>
      <c r="G399" s="321" t="str">
        <f>Překlady!$A$153</f>
        <v>U systemu nawijania do tyłu i do ślimaka roletowego nie da się zastosować nakładanego systemu prowadzenia 29 mm i mechanizmu C3. Należy wybrać wersję FRAME.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U systemu nawijania do tyłu i do ślimaka roletowego nie da się zastosować nakładanego systemu prowadzenia 29 mm i mechanizmu C3. Należy wybrać wersję FRAME.</v>
      </c>
      <c r="N399">
        <f t="shared" si="20"/>
        <v>1</v>
      </c>
    </row>
    <row r="400" spans="1:14" x14ac:dyDescent="0.2">
      <c r="A400" s="255" t="str">
        <f>výpočty!$R$15</f>
        <v>Poziomy (z lewej strony na prawą)</v>
      </c>
      <c r="B400" s="256" t="str">
        <f>výpočty!$R$10</f>
        <v>Do ślimaka roletowego</v>
      </c>
      <c r="C400" t="str">
        <f>výpočty!$R$7</f>
        <v>Nakładany z prowadzeniem metalic-line 29 mm i mechanimem C3</v>
      </c>
      <c r="D400" s="36" t="str">
        <f>výpočty!$W$19</f>
        <v>Aluminium szerokość 25 mm (metallic-line)</v>
      </c>
      <c r="E400" t="s">
        <v>2131</v>
      </c>
      <c r="F400">
        <v>1</v>
      </c>
      <c r="G400" s="321" t="str">
        <f>Překlady!$A$153</f>
        <v>U systemu nawijania do tyłu i do ślimaka roletowego nie da się zastosować nakładanego systemu prowadzenia 29 mm i mechanizmu C3. Należy wybrać wersję FRAME.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U systemu nawijania do tyłu i do ślimaka roletowego nie da się zastosować nakładanego systemu prowadzenia 29 mm i mechanizmu C3. Należy wybrać wersję FRAME.</v>
      </c>
      <c r="N400">
        <f t="shared" si="20"/>
        <v>1</v>
      </c>
    </row>
    <row r="401" spans="1:14" ht="13.5" thickBot="1" x14ac:dyDescent="0.25">
      <c r="A401" s="255" t="str">
        <f>výpočty!$R$15</f>
        <v>Poziomy (z lewej strony na prawą)</v>
      </c>
      <c r="B401" s="256" t="str">
        <f>výpočty!$R$10</f>
        <v>Do ślimaka roletowego</v>
      </c>
      <c r="C401" t="str">
        <f>výpočty!$R$7</f>
        <v>Nakładany z prowadzeniem metalic-line 29 mm i mechanimem C3</v>
      </c>
      <c r="D401" s="27" t="str">
        <f>výpočty!$W$20</f>
        <v>Nierdz. szerokość 25 mm (metallic-line)</v>
      </c>
      <c r="E401" t="s">
        <v>2131</v>
      </c>
      <c r="F401">
        <v>1</v>
      </c>
      <c r="G401" s="321" t="str">
        <f>Překlady!$A$153</f>
        <v>U systemu nawijania do tyłu i do ślimaka roletowego nie da się zastosować nakładanego systemu prowadzenia 29 mm i mechanizmu C3. Należy wybrać wersję FRAME.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U systemu nawijania do tyłu i do ślimaka roletowego nie da się zastosować nakładanego systemu prowadzenia 29 mm i mechanizmu C3. Należy wybrać wersję FRAME.</v>
      </c>
      <c r="N401">
        <f t="shared" si="20"/>
        <v>1</v>
      </c>
    </row>
    <row r="402" spans="1:14" x14ac:dyDescent="0.2">
      <c r="A402" s="255" t="str">
        <f>výpočty!$R$15</f>
        <v>Poziomy (z lewej strony na prawą)</v>
      </c>
      <c r="B402" t="str">
        <f>výpočty!$R$11</f>
        <v>Z mecjanizmem C3</v>
      </c>
      <c r="C402" t="str">
        <f>výpočty!$R$3</f>
        <v>TOP Basic - wpuszczany do przykręcenia plastikowy</v>
      </c>
      <c r="D402" s="26" t="str">
        <f>výpočty!$W$3</f>
        <v>Czarny (E23)</v>
      </c>
      <c r="E402" t="s">
        <v>2131</v>
      </c>
      <c r="F402">
        <v>1</v>
      </c>
      <c r="G402" t="str">
        <f>Překlady!$A$154</f>
        <v>Mechanizmu C3 nie da się zastosować przy poziomym ruchu żaluzji.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Mechanizmu C3 nie da się zastosować przy poziomym ruchu żaluzji.</v>
      </c>
      <c r="N402">
        <f t="shared" si="20"/>
        <v>1</v>
      </c>
    </row>
    <row r="403" spans="1:14" x14ac:dyDescent="0.2">
      <c r="A403" s="255" t="str">
        <f>výpočty!$R$15</f>
        <v>Poziomy (z lewej strony na prawą)</v>
      </c>
      <c r="B403" t="str">
        <f>výpočty!$R$11</f>
        <v>Z mecjanizmem C3</v>
      </c>
      <c r="C403" t="str">
        <f>výpočty!$R$3</f>
        <v>TOP Basic - wpuszczany do przykręcenia plastikowy</v>
      </c>
      <c r="D403" s="36" t="str">
        <f>výpočty!$W$4</f>
        <v>Biały (E23)</v>
      </c>
      <c r="E403" t="s">
        <v>2131</v>
      </c>
      <c r="F403">
        <v>1</v>
      </c>
      <c r="G403" t="str">
        <f>Překlady!$A$154</f>
        <v>Mechanizmu C3 nie da się zastosować przy poziomym ruchu żaluzji.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Mechanizmu C3 nie da się zastosować przy poziomym ruchu żaluzji.</v>
      </c>
      <c r="N403">
        <f t="shared" si="20"/>
        <v>1</v>
      </c>
    </row>
    <row r="404" spans="1:14" x14ac:dyDescent="0.2">
      <c r="A404" s="255" t="str">
        <f>výpočty!$R$15</f>
        <v>Poziomy (z lewej strony na prawą)</v>
      </c>
      <c r="B404" t="str">
        <f>výpočty!$R$11</f>
        <v>Z mecjanizmem C3</v>
      </c>
      <c r="C404" t="str">
        <f>výpočty!$R$3</f>
        <v>TOP Basic - wpuszczany do przykręcenia plastikowy</v>
      </c>
      <c r="D404" s="36" t="str">
        <f>výpočty!$W$5</f>
        <v>Szary (E23)</v>
      </c>
      <c r="E404" t="s">
        <v>2131</v>
      </c>
      <c r="F404">
        <v>1</v>
      </c>
      <c r="G404" t="str">
        <f>Překlady!$A$154</f>
        <v>Mechanizmu C3 nie da się zastosować przy poziomym ruchu żaluzji.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Mechanizmu C3 nie da się zastosować przy poziomym ruchu żaluzji.</v>
      </c>
      <c r="N404">
        <f t="shared" si="20"/>
        <v>1</v>
      </c>
    </row>
    <row r="405" spans="1:14" x14ac:dyDescent="0.2">
      <c r="A405" s="255" t="str">
        <f>výpočty!$R$15</f>
        <v>Poziomy (z lewej strony na prawą)</v>
      </c>
      <c r="B405" t="str">
        <f>výpočty!$R$11</f>
        <v>Z mecjanizmem C3</v>
      </c>
      <c r="C405" t="str">
        <f>výpočty!$R$3</f>
        <v>TOP Basic - wpuszczany do przykręcenia plastikowy</v>
      </c>
      <c r="D405" s="36" t="str">
        <f>výpočty!$W$6</f>
        <v>Aluminowa plastik (E23)</v>
      </c>
      <c r="E405" t="s">
        <v>2131</v>
      </c>
      <c r="F405">
        <v>1</v>
      </c>
      <c r="G405" t="str">
        <f>Překlady!$A$154</f>
        <v>Mechanizmu C3 nie da się zastosować przy poziomym ruchu żaluzji.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Mechanizmu C3 nie da się zastosować przy poziomym ruchu żaluzji.</v>
      </c>
      <c r="N405">
        <f t="shared" si="20"/>
        <v>1</v>
      </c>
    </row>
    <row r="406" spans="1:14" x14ac:dyDescent="0.2">
      <c r="A406" s="255" t="str">
        <f>výpočty!$R$15</f>
        <v>Poziomy (z lewej strony na prawą)</v>
      </c>
      <c r="B406" t="str">
        <f>výpočty!$R$11</f>
        <v>Z mecjanizmem C3</v>
      </c>
      <c r="C406" t="str">
        <f>výpočty!$R$3</f>
        <v>TOP Basic - wpuszczany do przykręcenia plastikowy</v>
      </c>
      <c r="D406" s="36" t="str">
        <f>výpočty!$W$7</f>
        <v>Buk (E23)</v>
      </c>
      <c r="E406" t="s">
        <v>2131</v>
      </c>
      <c r="F406">
        <v>1</v>
      </c>
      <c r="G406" t="str">
        <f>Překlady!$A$154</f>
        <v>Mechanizmu C3 nie da się zastosować przy poziomym ruchu żaluzji.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Mechanizmu C3 nie da się zastosować przy poziomym ruchu żaluzji.</v>
      </c>
      <c r="N406">
        <f t="shared" si="20"/>
        <v>1</v>
      </c>
    </row>
    <row r="407" spans="1:14" x14ac:dyDescent="0.2">
      <c r="A407" s="255" t="str">
        <f>výpočty!$R$15</f>
        <v>Poziomy (z lewej strony na prawą)</v>
      </c>
      <c r="B407" t="str">
        <f>výpočty!$R$11</f>
        <v>Z mecjanizmem C3</v>
      </c>
      <c r="C407" t="str">
        <f>výpočty!$R$3</f>
        <v>TOP Basic - wpuszczany do przykręcenia plastikowy</v>
      </c>
      <c r="D407" s="36" t="str">
        <f>výpočty!$W$8</f>
        <v>Czereśnia (E23)</v>
      </c>
      <c r="E407" t="s">
        <v>2131</v>
      </c>
      <c r="F407">
        <v>1</v>
      </c>
      <c r="G407" t="str">
        <f>Překlady!$A$154</f>
        <v>Mechanizmu C3 nie da się zastosować przy poziomym ruchu żaluzji.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Mechanizmu C3 nie da się zastosować przy poziomym ruchu żaluzji.</v>
      </c>
      <c r="N407">
        <f t="shared" si="20"/>
        <v>1</v>
      </c>
    </row>
    <row r="408" spans="1:14" x14ac:dyDescent="0.2">
      <c r="A408" s="255" t="str">
        <f>výpočty!$R$15</f>
        <v>Poziomy (z lewej strony na prawą)</v>
      </c>
      <c r="B408" t="str">
        <f>výpočty!$R$11</f>
        <v>Z mecjanizmem C3</v>
      </c>
      <c r="C408" t="str">
        <f>výpočty!$R$3</f>
        <v>TOP Basic - wpuszczany do przykręcenia plastikowy</v>
      </c>
      <c r="D408" s="36" t="str">
        <f>výpočty!$W$9</f>
        <v>Klon (E23)</v>
      </c>
      <c r="E408" t="s">
        <v>2131</v>
      </c>
      <c r="F408">
        <v>1</v>
      </c>
      <c r="G408" t="str">
        <f>Překlady!$A$154</f>
        <v>Mechanizmu C3 nie da się zastosować przy poziomym ruchu żaluzji.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Mechanizmu C3 nie da się zastosować przy poziomym ruchu żaluzji.</v>
      </c>
      <c r="N408">
        <f t="shared" si="20"/>
        <v>1</v>
      </c>
    </row>
    <row r="409" spans="1:14" x14ac:dyDescent="0.2">
      <c r="A409" s="255" t="str">
        <f>výpočty!$R$15</f>
        <v>Poziomy (z lewej strony na prawą)</v>
      </c>
      <c r="B409" t="str">
        <f>výpočty!$R$11</f>
        <v>Z mecjanizmem C3</v>
      </c>
      <c r="C409" t="str">
        <f>výpočty!$R$3</f>
        <v>TOP Basic - wpuszczany do przykręcenia plastikowy</v>
      </c>
      <c r="D409" s="36" t="str">
        <f>výpočty!$W$10</f>
        <v>Brzoza (E23)</v>
      </c>
      <c r="E409" t="s">
        <v>2131</v>
      </c>
      <c r="F409">
        <v>1</v>
      </c>
      <c r="G409" t="str">
        <f>Překlady!$A$154</f>
        <v>Mechanizmu C3 nie da się zastosować przy poziomym ruchu żaluzji.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Mechanizmu C3 nie da się zastosować przy poziomym ruchu żaluzji.</v>
      </c>
      <c r="N409">
        <f t="shared" si="20"/>
        <v>1</v>
      </c>
    </row>
    <row r="410" spans="1:14" x14ac:dyDescent="0.2">
      <c r="A410" s="255" t="str">
        <f>výpočty!$R$15</f>
        <v>Poziomy (z lewej strony na prawą)</v>
      </c>
      <c r="B410" t="str">
        <f>výpočty!$R$11</f>
        <v>Z mecjanizmem C3</v>
      </c>
      <c r="C410" t="str">
        <f>výpočty!$R$3</f>
        <v>TOP Basic - wpuszczany do przykręcenia plastikowy</v>
      </c>
      <c r="D410" s="36" t="str">
        <f>výpočty!$W$11</f>
        <v>Czereśnia havana (E23)</v>
      </c>
      <c r="E410" t="s">
        <v>2131</v>
      </c>
      <c r="F410">
        <v>1</v>
      </c>
      <c r="G410" t="str">
        <f>Překlady!$A$154</f>
        <v>Mechanizmu C3 nie da się zastosować przy poziomym ruchu żaluzji.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Mechanizmu C3 nie da się zastosować przy poziomym ruchu żaluzji.</v>
      </c>
      <c r="N410">
        <f t="shared" si="20"/>
        <v>1</v>
      </c>
    </row>
    <row r="411" spans="1:14" x14ac:dyDescent="0.2">
      <c r="A411" s="255" t="str">
        <f>výpočty!$R$15</f>
        <v>Poziomy (z lewej strony na prawą)</v>
      </c>
      <c r="B411" t="str">
        <f>výpočty!$R$11</f>
        <v>Z mecjanizmem C3</v>
      </c>
      <c r="C411" t="str">
        <f>výpočty!$R$3</f>
        <v>TOP Basic - wpuszczany do przykręcenia plastikowy</v>
      </c>
      <c r="D411" s="36" t="str">
        <f>výpočty!$W$12</f>
        <v>Calvados (E23)</v>
      </c>
      <c r="E411" t="s">
        <v>2131</v>
      </c>
      <c r="F411">
        <v>1</v>
      </c>
      <c r="G411" t="str">
        <f>Překlady!$A$154</f>
        <v>Mechanizmu C3 nie da się zastosować przy poziomym ruchu żaluzji.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Mechanizmu C3 nie da się zastosować przy poziomym ruchu żaluzji.</v>
      </c>
      <c r="N411">
        <f t="shared" si="20"/>
        <v>1</v>
      </c>
    </row>
    <row r="412" spans="1:14" x14ac:dyDescent="0.2">
      <c r="A412" s="255" t="str">
        <f>výpočty!$R$15</f>
        <v>Poziomy (z lewej strony na prawą)</v>
      </c>
      <c r="B412" t="str">
        <f>výpočty!$R$11</f>
        <v>Z mecjanizmem C3</v>
      </c>
      <c r="C412" t="str">
        <f>výpočty!$R$3</f>
        <v>TOP Basic - wpuszczany do przykręcenia plastikowy</v>
      </c>
      <c r="D412" s="36" t="str">
        <f>výpočty!$W$14</f>
        <v>śnieżno biala mat (E9)</v>
      </c>
      <c r="E412" t="s">
        <v>2131</v>
      </c>
      <c r="F412">
        <v>1</v>
      </c>
      <c r="G412" t="str">
        <f>Překlady!$A$154</f>
        <v>Mechanizmu C3 nie da się zastosować przy poziomym ruchu żaluzji.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Mechanizmu C3 nie da się zastosować przy poziomym ruchu żaluzji.</v>
      </c>
      <c r="N412">
        <f t="shared" si="20"/>
        <v>1</v>
      </c>
    </row>
    <row r="413" spans="1:14" x14ac:dyDescent="0.2">
      <c r="A413" s="255" t="str">
        <f>výpočty!$R$15</f>
        <v>Poziomy (z lewej strony na prawą)</v>
      </c>
      <c r="B413" t="str">
        <f>výpočty!$R$11</f>
        <v>Z mecjanizmem C3</v>
      </c>
      <c r="C413" t="str">
        <f>výpočty!$R$3</f>
        <v>TOP Basic - wpuszczany do przykręcenia plastikowy</v>
      </c>
      <c r="D413" s="36" t="str">
        <f>výpočty!$W$15</f>
        <v>Aluminowa plastik (E4)</v>
      </c>
      <c r="E413" t="s">
        <v>2131</v>
      </c>
      <c r="F413">
        <v>1</v>
      </c>
      <c r="G413" s="321" t="str">
        <f>Překlady!$A$143</f>
        <v>Kolor aluminium plastik w profilu E4 jest idealny do poziomych rozwiązań w kombinacji z prowadzeniem Classic z systemem nawijania do tyłu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>Kolor aluminium plastik w profilu E4 jest idealny do poziomych rozwiązań w kombinacji z prowadzeniem Classic z systemem nawijania do tyłu</v>
      </c>
      <c r="N413">
        <f t="shared" si="20"/>
        <v>1</v>
      </c>
    </row>
    <row r="414" spans="1:14" x14ac:dyDescent="0.2">
      <c r="A414" s="255" t="str">
        <f>výpočty!$R$15</f>
        <v>Poziomy (z lewej strony na prawą)</v>
      </c>
      <c r="B414" t="str">
        <f>výpočty!$R$11</f>
        <v>Z mecjanizmem C3</v>
      </c>
      <c r="C414" t="str">
        <f>výpočty!$R$3</f>
        <v>TOP Basic - wpuszczany do przykręcenia plastikowy</v>
      </c>
      <c r="D414" s="36">
        <f>výpočty!$W$17</f>
        <v>0</v>
      </c>
      <c r="E414" t="s">
        <v>2131</v>
      </c>
      <c r="F414">
        <v>1</v>
      </c>
      <c r="G414" t="str">
        <f>Překlady!$A$154</f>
        <v>Mechanizmu C3 nie da się zastosować przy poziomym ruchu żaluzji.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Mechanizmu C3 nie da się zastosować przy poziomym ruchu żaluzji.</v>
      </c>
      <c r="N414">
        <f t="shared" si="20"/>
        <v>1</v>
      </c>
    </row>
    <row r="415" spans="1:14" x14ac:dyDescent="0.2">
      <c r="A415" s="255" t="str">
        <f>výpočty!$R$15</f>
        <v>Poziomy (z lewej strony na prawą)</v>
      </c>
      <c r="B415" t="str">
        <f>výpočty!$R$11</f>
        <v>Z mecjanizmem C3</v>
      </c>
      <c r="C415" t="str">
        <f>výpočty!$R$3</f>
        <v>TOP Basic - wpuszczany do przykręcenia plastikowy</v>
      </c>
      <c r="D415" s="36">
        <f>výpočty!$W$18</f>
        <v>0</v>
      </c>
      <c r="E415" t="s">
        <v>2131</v>
      </c>
      <c r="F415">
        <v>1</v>
      </c>
      <c r="G415" t="str">
        <f>Překlady!$A$154</f>
        <v>Mechanizmu C3 nie da się zastosować przy poziomym ruchu żaluzji.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Mechanizmu C3 nie da się zastosować przy poziomym ruchu żaluzji.</v>
      </c>
      <c r="N415">
        <f t="shared" si="20"/>
        <v>1</v>
      </c>
    </row>
    <row r="416" spans="1:14" x14ac:dyDescent="0.2">
      <c r="A416" s="255" t="str">
        <f>výpočty!$R$15</f>
        <v>Poziomy (z lewej strony na prawą)</v>
      </c>
      <c r="B416" t="str">
        <f>výpočty!$R$11</f>
        <v>Z mecjanizmem C3</v>
      </c>
      <c r="C416" t="str">
        <f>výpočty!$R$3</f>
        <v>TOP Basic - wpuszczany do przykręcenia plastikowy</v>
      </c>
      <c r="D416" s="36" t="str">
        <f>výpočty!$W$19</f>
        <v>Aluminium szerokość 25 mm (metallic-line)</v>
      </c>
      <c r="E416" t="s">
        <v>2131</v>
      </c>
      <c r="F416">
        <v>1</v>
      </c>
      <c r="G416" t="str">
        <f>Překlady!$A$154</f>
        <v>Mechanizmu C3 nie da się zastosować przy poziomym ruchu żaluzji.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Mechanizmu C3 nie da się zastosować przy poziomym ruchu żaluzji.</v>
      </c>
      <c r="N416">
        <f t="shared" si="20"/>
        <v>1</v>
      </c>
    </row>
    <row r="417" spans="1:14" ht="13.5" thickBot="1" x14ac:dyDescent="0.25">
      <c r="A417" s="255" t="str">
        <f>výpočty!$R$15</f>
        <v>Poziomy (z lewej strony na prawą)</v>
      </c>
      <c r="B417" t="str">
        <f>výpočty!$R$11</f>
        <v>Z mecjanizmem C3</v>
      </c>
      <c r="C417" t="str">
        <f>výpočty!$R$3</f>
        <v>TOP Basic - wpuszczany do przykręcenia plastikowy</v>
      </c>
      <c r="D417" s="27" t="str">
        <f>výpočty!$W$20</f>
        <v>Nierdz. szerokość 25 mm (metallic-line)</v>
      </c>
      <c r="E417" t="s">
        <v>2131</v>
      </c>
      <c r="F417">
        <v>1</v>
      </c>
      <c r="G417" t="str">
        <f>Překlady!$A$154</f>
        <v>Mechanizmu C3 nie da się zastosować przy poziomym ruchu żaluzji.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Mechanizmu C3 nie da się zastosować przy poziomym ruchu żaluzji.</v>
      </c>
      <c r="N417">
        <f t="shared" si="20"/>
        <v>1</v>
      </c>
    </row>
    <row r="418" spans="1:14" x14ac:dyDescent="0.2">
      <c r="A418" s="255" t="str">
        <f>výpočty!$R$15</f>
        <v>Poziomy (z lewej strony na prawą)</v>
      </c>
      <c r="B418" t="str">
        <f>výpočty!$R$11</f>
        <v>Z mecjanizmem C3</v>
      </c>
      <c r="C418" t="str">
        <f>výpočty!$R$4</f>
        <v>Classic - wpuszczany do zafrezowania</v>
      </c>
      <c r="D418" s="26" t="str">
        <f>výpočty!$W$3</f>
        <v>Czarny (E23)</v>
      </c>
      <c r="E418" t="s">
        <v>2131</v>
      </c>
      <c r="F418">
        <v>1</v>
      </c>
      <c r="G418" t="str">
        <f>Překlady!$A$154</f>
        <v>Mechanizmu C3 nie da się zastosować przy poziomym ruchu żaluzji.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Mechanizmu C3 nie da się zastosować przy poziomym ruchu żaluzji.</v>
      </c>
      <c r="N418">
        <f t="shared" si="20"/>
        <v>1</v>
      </c>
    </row>
    <row r="419" spans="1:14" x14ac:dyDescent="0.2">
      <c r="A419" s="255" t="str">
        <f>výpočty!$R$15</f>
        <v>Poziomy (z lewej strony na prawą)</v>
      </c>
      <c r="B419" t="str">
        <f>výpočty!$R$11</f>
        <v>Z mecjanizmem C3</v>
      </c>
      <c r="C419" t="str">
        <f>výpočty!$R$4</f>
        <v>Classic - wpuszczany do zafrezowania</v>
      </c>
      <c r="D419" s="36" t="str">
        <f>výpočty!$W$4</f>
        <v>Biały (E23)</v>
      </c>
      <c r="E419" t="s">
        <v>2131</v>
      </c>
      <c r="F419">
        <v>1</v>
      </c>
      <c r="G419" t="str">
        <f>Překlady!$A$154</f>
        <v>Mechanizmu C3 nie da się zastosować przy poziomym ruchu żaluzji.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Mechanizmu C3 nie da się zastosować przy poziomym ruchu żaluzji.</v>
      </c>
      <c r="N419">
        <f t="shared" si="20"/>
        <v>1</v>
      </c>
    </row>
    <row r="420" spans="1:14" x14ac:dyDescent="0.2">
      <c r="A420" s="255" t="str">
        <f>výpočty!$R$15</f>
        <v>Poziomy (z lewej strony na prawą)</v>
      </c>
      <c r="B420" t="str">
        <f>výpočty!$R$11</f>
        <v>Z mecjanizmem C3</v>
      </c>
      <c r="C420" t="str">
        <f>výpočty!$R$4</f>
        <v>Classic - wpuszczany do zafrezowania</v>
      </c>
      <c r="D420" s="36" t="str">
        <f>výpočty!$W$5</f>
        <v>Szary (E23)</v>
      </c>
      <c r="E420" t="s">
        <v>2131</v>
      </c>
      <c r="F420">
        <v>1</v>
      </c>
      <c r="G420" t="str">
        <f>Překlady!$A$154</f>
        <v>Mechanizmu C3 nie da się zastosować przy poziomym ruchu żaluzji.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Mechanizmu C3 nie da się zastosować przy poziomym ruchu żaluzji.</v>
      </c>
      <c r="N420">
        <f t="shared" si="20"/>
        <v>1</v>
      </c>
    </row>
    <row r="421" spans="1:14" x14ac:dyDescent="0.2">
      <c r="A421" s="255" t="str">
        <f>výpočty!$R$15</f>
        <v>Poziomy (z lewej strony na prawą)</v>
      </c>
      <c r="B421" t="str">
        <f>výpočty!$R$11</f>
        <v>Z mecjanizmem C3</v>
      </c>
      <c r="C421" t="str">
        <f>výpočty!$R$4</f>
        <v>Classic - wpuszczany do zafrezowania</v>
      </c>
      <c r="D421" s="36" t="str">
        <f>výpočty!$W$6</f>
        <v>Aluminowa plastik (E23)</v>
      </c>
      <c r="E421" t="s">
        <v>2131</v>
      </c>
      <c r="F421">
        <v>1</v>
      </c>
      <c r="G421" t="str">
        <f>Překlady!$A$154</f>
        <v>Mechanizmu C3 nie da się zastosować przy poziomym ruchu żaluzji.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Mechanizmu C3 nie da się zastosować przy poziomym ruchu żaluzji.</v>
      </c>
      <c r="N421">
        <f t="shared" si="20"/>
        <v>1</v>
      </c>
    </row>
    <row r="422" spans="1:14" x14ac:dyDescent="0.2">
      <c r="A422" s="255" t="str">
        <f>výpočty!$R$15</f>
        <v>Poziomy (z lewej strony na prawą)</v>
      </c>
      <c r="B422" t="str">
        <f>výpočty!$R$11</f>
        <v>Z mecjanizmem C3</v>
      </c>
      <c r="C422" t="str">
        <f>výpočty!$R$4</f>
        <v>Classic - wpuszczany do zafrezowania</v>
      </c>
      <c r="D422" s="36" t="str">
        <f>výpočty!$W$7</f>
        <v>Buk (E23)</v>
      </c>
      <c r="E422" t="s">
        <v>2131</v>
      </c>
      <c r="F422">
        <v>1</v>
      </c>
      <c r="G422" t="str">
        <f>Překlady!$A$154</f>
        <v>Mechanizmu C3 nie da się zastosować przy poziomym ruchu żaluzji.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Mechanizmu C3 nie da się zastosować przy poziomym ruchu żaluzji.</v>
      </c>
      <c r="N422">
        <f t="shared" si="20"/>
        <v>1</v>
      </c>
    </row>
    <row r="423" spans="1:14" x14ac:dyDescent="0.2">
      <c r="A423" s="255" t="str">
        <f>výpočty!$R$15</f>
        <v>Poziomy (z lewej strony na prawą)</v>
      </c>
      <c r="B423" t="str">
        <f>výpočty!$R$11</f>
        <v>Z mecjanizmem C3</v>
      </c>
      <c r="C423" t="str">
        <f>výpočty!$R$4</f>
        <v>Classic - wpuszczany do zafrezowania</v>
      </c>
      <c r="D423" s="36" t="str">
        <f>výpočty!$W$8</f>
        <v>Czereśnia (E23)</v>
      </c>
      <c r="E423" t="s">
        <v>2131</v>
      </c>
      <c r="F423">
        <v>1</v>
      </c>
      <c r="G423" t="str">
        <f>Překlady!$A$154</f>
        <v>Mechanizmu C3 nie da się zastosować przy poziomym ruchu żaluzji.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Mechanizmu C3 nie da się zastosować przy poziomym ruchu żaluzji.</v>
      </c>
      <c r="N423">
        <f t="shared" si="20"/>
        <v>1</v>
      </c>
    </row>
    <row r="424" spans="1:14" x14ac:dyDescent="0.2">
      <c r="A424" s="255" t="str">
        <f>výpočty!$R$15</f>
        <v>Poziomy (z lewej strony na prawą)</v>
      </c>
      <c r="B424" t="str">
        <f>výpočty!$R$11</f>
        <v>Z mecjanizmem C3</v>
      </c>
      <c r="C424" t="str">
        <f>výpočty!$R$4</f>
        <v>Classic - wpuszczany do zafrezowania</v>
      </c>
      <c r="D424" s="36" t="str">
        <f>výpočty!$W$9</f>
        <v>Klon (E23)</v>
      </c>
      <c r="E424" t="s">
        <v>2131</v>
      </c>
      <c r="F424">
        <v>1</v>
      </c>
      <c r="G424" t="str">
        <f>Překlady!$A$154</f>
        <v>Mechanizmu C3 nie da się zastosować przy poziomym ruchu żaluzji.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Mechanizmu C3 nie da się zastosować przy poziomym ruchu żaluzji.</v>
      </c>
      <c r="N424">
        <f t="shared" si="20"/>
        <v>1</v>
      </c>
    </row>
    <row r="425" spans="1:14" x14ac:dyDescent="0.2">
      <c r="A425" s="255" t="str">
        <f>výpočty!$R$15</f>
        <v>Poziomy (z lewej strony na prawą)</v>
      </c>
      <c r="B425" t="str">
        <f>výpočty!$R$11</f>
        <v>Z mecjanizmem C3</v>
      </c>
      <c r="C425" t="str">
        <f>výpočty!$R$4</f>
        <v>Classic - wpuszczany do zafrezowania</v>
      </c>
      <c r="D425" s="36" t="str">
        <f>výpočty!$W$10</f>
        <v>Brzoza (E23)</v>
      </c>
      <c r="E425" t="s">
        <v>2131</v>
      </c>
      <c r="F425">
        <v>1</v>
      </c>
      <c r="G425" t="str">
        <f>Překlady!$A$154</f>
        <v>Mechanizmu C3 nie da się zastosować przy poziomym ruchu żaluzji.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Mechanizmu C3 nie da się zastosować przy poziomym ruchu żaluzji.</v>
      </c>
      <c r="N425">
        <f t="shared" si="20"/>
        <v>1</v>
      </c>
    </row>
    <row r="426" spans="1:14" x14ac:dyDescent="0.2">
      <c r="A426" s="255" t="str">
        <f>výpočty!$R$15</f>
        <v>Poziomy (z lewej strony na prawą)</v>
      </c>
      <c r="B426" t="str">
        <f>výpočty!$R$11</f>
        <v>Z mecjanizmem C3</v>
      </c>
      <c r="C426" t="str">
        <f>výpočty!$R$4</f>
        <v>Classic - wpuszczany do zafrezowania</v>
      </c>
      <c r="D426" s="36" t="str">
        <f>výpočty!$W$11</f>
        <v>Czereśnia havana (E23)</v>
      </c>
      <c r="E426" t="s">
        <v>2131</v>
      </c>
      <c r="F426">
        <v>1</v>
      </c>
      <c r="G426" t="str">
        <f>Překlady!$A$154</f>
        <v>Mechanizmu C3 nie da się zastosować przy poziomym ruchu żaluzji.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Mechanizmu C3 nie da się zastosować przy poziomym ruchu żaluzji.</v>
      </c>
      <c r="N426">
        <f t="shared" si="20"/>
        <v>1</v>
      </c>
    </row>
    <row r="427" spans="1:14" x14ac:dyDescent="0.2">
      <c r="A427" s="255" t="str">
        <f>výpočty!$R$15</f>
        <v>Poziomy (z lewej strony na prawą)</v>
      </c>
      <c r="B427" t="str">
        <f>výpočty!$R$11</f>
        <v>Z mecjanizmem C3</v>
      </c>
      <c r="C427" t="str">
        <f>výpočty!$R$4</f>
        <v>Classic - wpuszczany do zafrezowania</v>
      </c>
      <c r="D427" s="36" t="str">
        <f>výpočty!$W$12</f>
        <v>Calvados (E23)</v>
      </c>
      <c r="E427" t="s">
        <v>2131</v>
      </c>
      <c r="F427">
        <v>1</v>
      </c>
      <c r="G427" t="str">
        <f>Překlady!$A$154</f>
        <v>Mechanizmu C3 nie da się zastosować przy poziomym ruchu żaluzji.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Mechanizmu C3 nie da się zastosować przy poziomym ruchu żaluzji.</v>
      </c>
      <c r="N427">
        <f t="shared" si="20"/>
        <v>1</v>
      </c>
    </row>
    <row r="428" spans="1:14" x14ac:dyDescent="0.2">
      <c r="A428" s="255" t="str">
        <f>výpočty!$R$15</f>
        <v>Poziomy (z lewej strony na prawą)</v>
      </c>
      <c r="B428" t="str">
        <f>výpočty!$R$11</f>
        <v>Z mecjanizmem C3</v>
      </c>
      <c r="C428" t="str">
        <f>výpočty!$R$4</f>
        <v>Classic - wpuszczany do zafrezowania</v>
      </c>
      <c r="D428" s="36" t="str">
        <f>výpočty!$W$14</f>
        <v>śnieżno biala mat (E9)</v>
      </c>
      <c r="E428" t="s">
        <v>2131</v>
      </c>
      <c r="F428">
        <v>1</v>
      </c>
      <c r="G428" t="str">
        <f>Překlady!$A$154</f>
        <v>Mechanizmu C3 nie da się zastosować przy poziomym ruchu żaluzji.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Mechanizmu C3 nie da się zastosować przy poziomym ruchu żaluzji.</v>
      </c>
      <c r="N428">
        <f t="shared" si="20"/>
        <v>1</v>
      </c>
    </row>
    <row r="429" spans="1:14" x14ac:dyDescent="0.2">
      <c r="A429" s="255" t="str">
        <f>výpočty!$R$15</f>
        <v>Poziomy (z lewej strony na prawą)</v>
      </c>
      <c r="B429" t="str">
        <f>výpočty!$R$11</f>
        <v>Z mecjanizmem C3</v>
      </c>
      <c r="C429" t="str">
        <f>výpočty!$R$4</f>
        <v>Classic - wpuszczany do zafrezowania</v>
      </c>
      <c r="D429" s="36" t="str">
        <f>výpočty!$W$15</f>
        <v>Aluminowa plastik (E4)</v>
      </c>
      <c r="E429" t="s">
        <v>2131</v>
      </c>
      <c r="F429">
        <v>1</v>
      </c>
      <c r="G429" s="321" t="str">
        <f>Překlady!$A$143</f>
        <v>Kolor aluminium plastik w profilu E4 jest idealny do poziomych rozwiązań w kombinacji z prowadzeniem Classic z systemem nawijania do tyłu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>Kolor aluminium plastik w profilu E4 jest idealny do poziomych rozwiązań w kombinacji z prowadzeniem Classic z systemem nawijania do tyłu</v>
      </c>
      <c r="N429">
        <f t="shared" si="20"/>
        <v>1</v>
      </c>
    </row>
    <row r="430" spans="1:14" x14ac:dyDescent="0.2">
      <c r="A430" s="255" t="str">
        <f>výpočty!$R$15</f>
        <v>Poziomy (z lewej strony na prawą)</v>
      </c>
      <c r="B430" t="str">
        <f>výpočty!$R$11</f>
        <v>Z mecjanizmem C3</v>
      </c>
      <c r="C430" t="str">
        <f>výpočty!$R$4</f>
        <v>Classic - wpuszczany do zafrezowania</v>
      </c>
      <c r="D430" s="36">
        <f>výpočty!$W$17</f>
        <v>0</v>
      </c>
      <c r="E430" t="s">
        <v>2131</v>
      </c>
      <c r="F430">
        <v>1</v>
      </c>
      <c r="G430" t="str">
        <f>Překlady!$A$154</f>
        <v>Mechanizmu C3 nie da się zastosować przy poziomym ruchu żaluzji.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Mechanizmu C3 nie da się zastosować przy poziomym ruchu żaluzji.</v>
      </c>
      <c r="N430">
        <f t="shared" si="20"/>
        <v>1</v>
      </c>
    </row>
    <row r="431" spans="1:14" x14ac:dyDescent="0.2">
      <c r="A431" s="255" t="str">
        <f>výpočty!$R$15</f>
        <v>Poziomy (z lewej strony na prawą)</v>
      </c>
      <c r="B431" t="str">
        <f>výpočty!$R$11</f>
        <v>Z mecjanizmem C3</v>
      </c>
      <c r="C431" t="str">
        <f>výpočty!$R$4</f>
        <v>Classic - wpuszczany do zafrezowania</v>
      </c>
      <c r="D431" s="36">
        <f>výpočty!$W$18</f>
        <v>0</v>
      </c>
      <c r="E431" t="s">
        <v>2131</v>
      </c>
      <c r="F431">
        <v>1</v>
      </c>
      <c r="G431" t="str">
        <f>Překlady!$A$154</f>
        <v>Mechanizmu C3 nie da się zastosować przy poziomym ruchu żaluzji.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Mechanizmu C3 nie da się zastosować przy poziomym ruchu żaluzji.</v>
      </c>
      <c r="N431">
        <f t="shared" si="20"/>
        <v>1</v>
      </c>
    </row>
    <row r="432" spans="1:14" x14ac:dyDescent="0.2">
      <c r="A432" s="255" t="str">
        <f>výpočty!$R$15</f>
        <v>Poziomy (z lewej strony na prawą)</v>
      </c>
      <c r="B432" t="str">
        <f>výpočty!$R$11</f>
        <v>Z mecjanizmem C3</v>
      </c>
      <c r="C432" t="str">
        <f>výpočty!$R$4</f>
        <v>Classic - wpuszczany do zafrezowania</v>
      </c>
      <c r="D432" s="36" t="str">
        <f>výpočty!$W$19</f>
        <v>Aluminium szerokość 25 mm (metallic-line)</v>
      </c>
      <c r="E432" t="s">
        <v>2131</v>
      </c>
      <c r="F432">
        <v>1</v>
      </c>
      <c r="G432" t="str">
        <f>Překlady!$A$154</f>
        <v>Mechanizmu C3 nie da się zastosować przy poziomym ruchu żaluzji.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Mechanizmu C3 nie da się zastosować przy poziomym ruchu żaluzji.</v>
      </c>
      <c r="N432">
        <f t="shared" si="20"/>
        <v>1</v>
      </c>
    </row>
    <row r="433" spans="1:14" ht="13.5" thickBot="1" x14ac:dyDescent="0.25">
      <c r="A433" s="255" t="str">
        <f>výpočty!$R$15</f>
        <v>Poziomy (z lewej strony na prawą)</v>
      </c>
      <c r="B433" t="str">
        <f>výpočty!$R$11</f>
        <v>Z mecjanizmem C3</v>
      </c>
      <c r="C433" t="str">
        <f>výpočty!$R$4</f>
        <v>Classic - wpuszczany do zafrezowania</v>
      </c>
      <c r="D433" s="27" t="str">
        <f>výpočty!$W$20</f>
        <v>Nierdz. szerokość 25 mm (metallic-line)</v>
      </c>
      <c r="E433" t="s">
        <v>2131</v>
      </c>
      <c r="F433">
        <v>1</v>
      </c>
      <c r="G433" t="str">
        <f>Překlady!$A$154</f>
        <v>Mechanizmu C3 nie da się zastosować przy poziomym ruchu żaluzji.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Mechanizmu C3 nie da się zastosować przy poziomym ruchu żaluzji.</v>
      </c>
      <c r="N433">
        <f t="shared" si="20"/>
        <v>1</v>
      </c>
    </row>
    <row r="434" spans="1:14" x14ac:dyDescent="0.2">
      <c r="A434" s="255" t="str">
        <f>výpočty!$R$15</f>
        <v>Poziomy (z lewej strony na prawą)</v>
      </c>
      <c r="B434" t="str">
        <f>výpočty!$R$11</f>
        <v>Z mecjanizmem C3</v>
      </c>
      <c r="C434" t="str">
        <f>výpočty!$R$5</f>
        <v>Frame - nakładany z listwą maskującą</v>
      </c>
      <c r="D434" s="26" t="str">
        <f>výpočty!$W$3</f>
        <v>Czarny (E23)</v>
      </c>
      <c r="E434" t="s">
        <v>2131</v>
      </c>
      <c r="F434">
        <v>1</v>
      </c>
      <c r="G434" t="str">
        <f>Překlady!$A$154</f>
        <v>Mechanizmu C3 nie da się zastosować przy poziomym ruchu żaluzji.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Mechanizmu C3 nie da się zastosować przy poziomym ruchu żaluzji.</v>
      </c>
      <c r="N434">
        <f t="shared" si="20"/>
        <v>1</v>
      </c>
    </row>
    <row r="435" spans="1:14" x14ac:dyDescent="0.2">
      <c r="A435" s="255" t="str">
        <f>výpočty!$R$15</f>
        <v>Poziomy (z lewej strony na prawą)</v>
      </c>
      <c r="B435" t="str">
        <f>výpočty!$R$11</f>
        <v>Z mecjanizmem C3</v>
      </c>
      <c r="C435" t="str">
        <f>výpočty!$R$5</f>
        <v>Frame - nakładany z listwą maskującą</v>
      </c>
      <c r="D435" s="36" t="str">
        <f>výpočty!$W$4</f>
        <v>Biały (E23)</v>
      </c>
      <c r="E435" t="s">
        <v>2131</v>
      </c>
      <c r="F435">
        <v>1</v>
      </c>
      <c r="G435" t="str">
        <f>Překlady!$A$154</f>
        <v>Mechanizmu C3 nie da się zastosować przy poziomym ruchu żaluzji.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Mechanizmu C3 nie da się zastosować przy poziomym ruchu żaluzji.</v>
      </c>
      <c r="N435">
        <f t="shared" si="20"/>
        <v>1</v>
      </c>
    </row>
    <row r="436" spans="1:14" x14ac:dyDescent="0.2">
      <c r="A436" s="255" t="str">
        <f>výpočty!$R$15</f>
        <v>Poziomy (z lewej strony na prawą)</v>
      </c>
      <c r="B436" t="str">
        <f>výpočty!$R$11</f>
        <v>Z mecjanizmem C3</v>
      </c>
      <c r="C436" t="str">
        <f>výpočty!$R$5</f>
        <v>Frame - nakładany z listwą maskującą</v>
      </c>
      <c r="D436" s="36" t="str">
        <f>výpočty!$W$5</f>
        <v>Szary (E23)</v>
      </c>
      <c r="E436" t="s">
        <v>2131</v>
      </c>
      <c r="F436">
        <v>1</v>
      </c>
      <c r="G436" t="str">
        <f>Překlady!$A$154</f>
        <v>Mechanizmu C3 nie da się zastosować przy poziomym ruchu żaluzji.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Mechanizmu C3 nie da się zastosować przy poziomym ruchu żaluzji.</v>
      </c>
      <c r="N436">
        <f t="shared" si="20"/>
        <v>1</v>
      </c>
    </row>
    <row r="437" spans="1:14" x14ac:dyDescent="0.2">
      <c r="A437" s="255" t="str">
        <f>výpočty!$R$15</f>
        <v>Poziomy (z lewej strony na prawą)</v>
      </c>
      <c r="B437" t="str">
        <f>výpočty!$R$11</f>
        <v>Z mecjanizmem C3</v>
      </c>
      <c r="C437" t="str">
        <f>výpočty!$R$5</f>
        <v>Frame - nakładany z listwą maskującą</v>
      </c>
      <c r="D437" s="36" t="str">
        <f>výpočty!$W$6</f>
        <v>Aluminowa plastik (E23)</v>
      </c>
      <c r="E437" t="s">
        <v>2131</v>
      </c>
      <c r="F437">
        <v>1</v>
      </c>
      <c r="G437" t="str">
        <f>Překlady!$A$154</f>
        <v>Mechanizmu C3 nie da się zastosować przy poziomym ruchu żaluzji.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Mechanizmu C3 nie da się zastosować przy poziomym ruchu żaluzji.</v>
      </c>
      <c r="N437">
        <f t="shared" si="20"/>
        <v>1</v>
      </c>
    </row>
    <row r="438" spans="1:14" x14ac:dyDescent="0.2">
      <c r="A438" s="255" t="str">
        <f>výpočty!$R$15</f>
        <v>Poziomy (z lewej strony na prawą)</v>
      </c>
      <c r="B438" t="str">
        <f>výpočty!$R$11</f>
        <v>Z mecjanizmem C3</v>
      </c>
      <c r="C438" t="str">
        <f>výpočty!$R$5</f>
        <v>Frame - nakładany z listwą maskującą</v>
      </c>
      <c r="D438" s="36" t="str">
        <f>výpočty!$W$7</f>
        <v>Buk (E23)</v>
      </c>
      <c r="E438" t="s">
        <v>2131</v>
      </c>
      <c r="F438">
        <v>1</v>
      </c>
      <c r="G438" t="str">
        <f>Překlady!$A$154</f>
        <v>Mechanizmu C3 nie da się zastosować przy poziomym ruchu żaluzji.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Mechanizmu C3 nie da się zastosować przy poziomym ruchu żaluzji.</v>
      </c>
      <c r="N438">
        <f t="shared" si="20"/>
        <v>1</v>
      </c>
    </row>
    <row r="439" spans="1:14" x14ac:dyDescent="0.2">
      <c r="A439" s="255" t="str">
        <f>výpočty!$R$15</f>
        <v>Poziomy (z lewej strony na prawą)</v>
      </c>
      <c r="B439" t="str">
        <f>výpočty!$R$11</f>
        <v>Z mecjanizmem C3</v>
      </c>
      <c r="C439" t="str">
        <f>výpočty!$R$5</f>
        <v>Frame - nakładany z listwą maskującą</v>
      </c>
      <c r="D439" s="36" t="str">
        <f>výpočty!$W$8</f>
        <v>Czereśnia (E23)</v>
      </c>
      <c r="E439" t="s">
        <v>2131</v>
      </c>
      <c r="F439">
        <v>1</v>
      </c>
      <c r="G439" t="str">
        <f>Překlady!$A$154</f>
        <v>Mechanizmu C3 nie da się zastosować przy poziomym ruchu żaluzji.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Mechanizmu C3 nie da się zastosować przy poziomym ruchu żaluzji.</v>
      </c>
      <c r="N439">
        <f t="shared" si="20"/>
        <v>1</v>
      </c>
    </row>
    <row r="440" spans="1:14" x14ac:dyDescent="0.2">
      <c r="A440" s="255" t="str">
        <f>výpočty!$R$15</f>
        <v>Poziomy (z lewej strony na prawą)</v>
      </c>
      <c r="B440" t="str">
        <f>výpočty!$R$11</f>
        <v>Z mecjanizmem C3</v>
      </c>
      <c r="C440" t="str">
        <f>výpočty!$R$5</f>
        <v>Frame - nakładany z listwą maskującą</v>
      </c>
      <c r="D440" s="36" t="str">
        <f>výpočty!$W$9</f>
        <v>Klon (E23)</v>
      </c>
      <c r="E440" t="s">
        <v>2131</v>
      </c>
      <c r="F440">
        <v>1</v>
      </c>
      <c r="G440" t="str">
        <f>Překlady!$A$154</f>
        <v>Mechanizmu C3 nie da się zastosować przy poziomym ruchu żaluzji.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Mechanizmu C3 nie da się zastosować przy poziomym ruchu żaluzji.</v>
      </c>
      <c r="N440">
        <f t="shared" si="20"/>
        <v>1</v>
      </c>
    </row>
    <row r="441" spans="1:14" x14ac:dyDescent="0.2">
      <c r="A441" s="255" t="str">
        <f>výpočty!$R$15</f>
        <v>Poziomy (z lewej strony na prawą)</v>
      </c>
      <c r="B441" t="str">
        <f>výpočty!$R$11</f>
        <v>Z mecjanizmem C3</v>
      </c>
      <c r="C441" t="str">
        <f>výpočty!$R$5</f>
        <v>Frame - nakładany z listwą maskującą</v>
      </c>
      <c r="D441" s="36" t="str">
        <f>výpočty!$W$10</f>
        <v>Brzoza (E23)</v>
      </c>
      <c r="E441" t="s">
        <v>2131</v>
      </c>
      <c r="F441">
        <v>1</v>
      </c>
      <c r="G441" t="str">
        <f>Překlady!$A$154</f>
        <v>Mechanizmu C3 nie da się zastosować przy poziomym ruchu żaluzji.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Mechanizmu C3 nie da się zastosować przy poziomym ruchu żaluzji.</v>
      </c>
      <c r="N441">
        <f t="shared" si="20"/>
        <v>1</v>
      </c>
    </row>
    <row r="442" spans="1:14" x14ac:dyDescent="0.2">
      <c r="A442" s="255" t="str">
        <f>výpočty!$R$15</f>
        <v>Poziomy (z lewej strony na prawą)</v>
      </c>
      <c r="B442" t="str">
        <f>výpočty!$R$11</f>
        <v>Z mecjanizmem C3</v>
      </c>
      <c r="C442" t="str">
        <f>výpočty!$R$5</f>
        <v>Frame - nakładany z listwą maskującą</v>
      </c>
      <c r="D442" s="36" t="str">
        <f>výpočty!$W$11</f>
        <v>Czereśnia havana (E23)</v>
      </c>
      <c r="E442" t="s">
        <v>2131</v>
      </c>
      <c r="F442">
        <v>1</v>
      </c>
      <c r="G442" t="str">
        <f>Překlady!$A$154</f>
        <v>Mechanizmu C3 nie da się zastosować przy poziomym ruchu żaluzji.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Mechanizmu C3 nie da się zastosować przy poziomym ruchu żaluzji.</v>
      </c>
      <c r="N442">
        <f t="shared" si="20"/>
        <v>1</v>
      </c>
    </row>
    <row r="443" spans="1:14" x14ac:dyDescent="0.2">
      <c r="A443" s="255" t="str">
        <f>výpočty!$R$15</f>
        <v>Poziomy (z lewej strony na prawą)</v>
      </c>
      <c r="B443" t="str">
        <f>výpočty!$R$11</f>
        <v>Z mecjanizmem C3</v>
      </c>
      <c r="C443" t="str">
        <f>výpočty!$R$5</f>
        <v>Frame - nakładany z listwą maskującą</v>
      </c>
      <c r="D443" s="36" t="str">
        <f>výpočty!$W$12</f>
        <v>Calvados (E23)</v>
      </c>
      <c r="E443" t="s">
        <v>2131</v>
      </c>
      <c r="F443">
        <v>1</v>
      </c>
      <c r="G443" t="str">
        <f>Překlady!$A$154</f>
        <v>Mechanizmu C3 nie da się zastosować przy poziomym ruchu żaluzji.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Mechanizmu C3 nie da się zastosować przy poziomym ruchu żaluzji.</v>
      </c>
      <c r="N443">
        <f t="shared" si="20"/>
        <v>1</v>
      </c>
    </row>
    <row r="444" spans="1:14" x14ac:dyDescent="0.2">
      <c r="A444" s="255" t="str">
        <f>výpočty!$R$15</f>
        <v>Poziomy (z lewej strony na prawą)</v>
      </c>
      <c r="B444" t="str">
        <f>výpočty!$R$11</f>
        <v>Z mecjanizmem C3</v>
      </c>
      <c r="C444" t="str">
        <f>výpočty!$R$5</f>
        <v>Frame - nakładany z listwą maskującą</v>
      </c>
      <c r="D444" s="36" t="str">
        <f>výpočty!$W$14</f>
        <v>śnieżno biala mat (E9)</v>
      </c>
      <c r="E444" t="s">
        <v>2131</v>
      </c>
      <c r="F444">
        <v>1</v>
      </c>
      <c r="G444" t="str">
        <f>Překlady!$A$154</f>
        <v>Mechanizmu C3 nie da się zastosować przy poziomym ruchu żaluzji.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Mechanizmu C3 nie da się zastosować przy poziomym ruchu żaluzji.</v>
      </c>
      <c r="N444">
        <f t="shared" si="20"/>
        <v>1</v>
      </c>
    </row>
    <row r="445" spans="1:14" x14ac:dyDescent="0.2">
      <c r="A445" s="255" t="str">
        <f>výpočty!$R$15</f>
        <v>Poziomy (z lewej strony na prawą)</v>
      </c>
      <c r="B445" t="str">
        <f>výpočty!$R$11</f>
        <v>Z mecjanizmem C3</v>
      </c>
      <c r="C445" t="str">
        <f>výpočty!$R$5</f>
        <v>Frame - nakładany z listwą maskującą</v>
      </c>
      <c r="D445" s="36" t="str">
        <f>výpočty!$W$15</f>
        <v>Aluminowa plastik (E4)</v>
      </c>
      <c r="E445" t="s">
        <v>2131</v>
      </c>
      <c r="F445">
        <v>1</v>
      </c>
      <c r="G445" s="321" t="str">
        <f>Překlady!$A$143</f>
        <v>Kolor aluminium plastik w profilu E4 jest idealny do poziomych rozwiązań w kombinacji z prowadzeniem Classic z systemem nawijania do tyłu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>Kolor aluminium plastik w profilu E4 jest idealny do poziomych rozwiązań w kombinacji z prowadzeniem Classic z systemem nawijania do tyłu</v>
      </c>
      <c r="N445">
        <f t="shared" si="20"/>
        <v>1</v>
      </c>
    </row>
    <row r="446" spans="1:14" x14ac:dyDescent="0.2">
      <c r="A446" s="255" t="str">
        <f>výpočty!$R$15</f>
        <v>Poziomy (z lewej strony na prawą)</v>
      </c>
      <c r="B446" t="str">
        <f>výpočty!$R$11</f>
        <v>Z mecjanizmem C3</v>
      </c>
      <c r="C446" t="str">
        <f>výpočty!$R$5</f>
        <v>Frame - nakładany z listwą maskującą</v>
      </c>
      <c r="D446" s="36">
        <f>výpočty!$W$17</f>
        <v>0</v>
      </c>
      <c r="E446" t="s">
        <v>2131</v>
      </c>
      <c r="F446">
        <v>1</v>
      </c>
      <c r="G446" t="str">
        <f>Překlady!$A$154</f>
        <v>Mechanizmu C3 nie da się zastosować przy poziomym ruchu żaluzji.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Mechanizmu C3 nie da się zastosować przy poziomym ruchu żaluzji.</v>
      </c>
      <c r="N446">
        <f t="shared" si="20"/>
        <v>1</v>
      </c>
    </row>
    <row r="447" spans="1:14" x14ac:dyDescent="0.2">
      <c r="A447" s="255" t="str">
        <f>výpočty!$R$15</f>
        <v>Poziomy (z lewej strony na prawą)</v>
      </c>
      <c r="B447" t="str">
        <f>výpočty!$R$11</f>
        <v>Z mecjanizmem C3</v>
      </c>
      <c r="C447" t="str">
        <f>výpočty!$R$5</f>
        <v>Frame - nakładany z listwą maskującą</v>
      </c>
      <c r="D447" s="36">
        <f>výpočty!$W$18</f>
        <v>0</v>
      </c>
      <c r="E447" t="s">
        <v>2131</v>
      </c>
      <c r="F447">
        <v>1</v>
      </c>
      <c r="G447" t="str">
        <f>Překlady!$A$154</f>
        <v>Mechanizmu C3 nie da się zastosować przy poziomym ruchu żaluzji.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Mechanizmu C3 nie da się zastosować przy poziomym ruchu żaluzji.</v>
      </c>
      <c r="N447">
        <f t="shared" si="20"/>
        <v>1</v>
      </c>
    </row>
    <row r="448" spans="1:14" x14ac:dyDescent="0.2">
      <c r="A448" s="255" t="str">
        <f>výpočty!$R$15</f>
        <v>Poziomy (z lewej strony na prawą)</v>
      </c>
      <c r="B448" t="str">
        <f>výpočty!$R$11</f>
        <v>Z mecjanizmem C3</v>
      </c>
      <c r="C448" t="str">
        <f>výpočty!$R$5</f>
        <v>Frame - nakładany z listwą maskującą</v>
      </c>
      <c r="D448" s="36" t="str">
        <f>výpočty!$W$19</f>
        <v>Aluminium szerokość 25 mm (metallic-line)</v>
      </c>
      <c r="E448" t="s">
        <v>2131</v>
      </c>
      <c r="F448">
        <v>1</v>
      </c>
      <c r="G448" t="str">
        <f>Překlady!$A$154</f>
        <v>Mechanizmu C3 nie da się zastosować przy poziomym ruchu żaluzji.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Mechanizmu C3 nie da się zastosować przy poziomym ruchu żaluzji.</v>
      </c>
      <c r="N448">
        <f t="shared" si="20"/>
        <v>1</v>
      </c>
    </row>
    <row r="449" spans="1:14" ht="13.5" thickBot="1" x14ac:dyDescent="0.25">
      <c r="A449" s="255" t="str">
        <f>výpočty!$R$15</f>
        <v>Poziomy (z lewej strony na prawą)</v>
      </c>
      <c r="B449" t="str">
        <f>výpočty!$R$11</f>
        <v>Z mecjanizmem C3</v>
      </c>
      <c r="C449" t="str">
        <f>výpočty!$R$5</f>
        <v>Frame - nakładany z listwą maskującą</v>
      </c>
      <c r="D449" s="27" t="str">
        <f>výpočty!$W$20</f>
        <v>Nierdz. szerokość 25 mm (metallic-line)</v>
      </c>
      <c r="E449" t="s">
        <v>2131</v>
      </c>
      <c r="F449">
        <v>1</v>
      </c>
      <c r="G449" t="str">
        <f>Překlady!$A$154</f>
        <v>Mechanizmu C3 nie da się zastosować przy poziomym ruchu żaluzji.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Mechanizmu C3 nie da się zastosować przy poziomym ruchu żaluzji.</v>
      </c>
      <c r="N449">
        <f t="shared" si="20"/>
        <v>1</v>
      </c>
    </row>
    <row r="450" spans="1:14" x14ac:dyDescent="0.2">
      <c r="A450" s="255" t="str">
        <f>výpočty!$R$15</f>
        <v>Poziomy (z lewej strony na prawą)</v>
      </c>
      <c r="B450" t="str">
        <f>výpočty!$R$11</f>
        <v>Z mecjanizmem C3</v>
      </c>
      <c r="C450" t="str">
        <f>výpočty!$R$6</f>
        <v>TOP - wpuszczany do przykręcenia metalowy z listwą maskującą</v>
      </c>
      <c r="D450" s="26" t="str">
        <f>výpočty!$W$3</f>
        <v>Czarny (E23)</v>
      </c>
      <c r="E450" t="s">
        <v>2131</v>
      </c>
      <c r="F450">
        <v>1</v>
      </c>
      <c r="G450" t="str">
        <f>Překlady!$A$154</f>
        <v>Mechanizmu C3 nie da się zastosować przy poziomym ruchu żaluzji.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Mechanizmu C3 nie da się zastosować przy poziomym ruchu żaluzji.</v>
      </c>
      <c r="N450">
        <f t="shared" si="20"/>
        <v>1</v>
      </c>
    </row>
    <row r="451" spans="1:14" x14ac:dyDescent="0.2">
      <c r="A451" s="255" t="str">
        <f>výpočty!$R$15</f>
        <v>Poziomy (z lewej strony na prawą)</v>
      </c>
      <c r="B451" t="str">
        <f>výpočty!$R$11</f>
        <v>Z mecjanizmem C3</v>
      </c>
      <c r="C451" t="str">
        <f>výpočty!$R$6</f>
        <v>TOP - wpuszczany do przykręcenia metalowy z listwą maskującą</v>
      </c>
      <c r="D451" s="36" t="str">
        <f>výpočty!$W$4</f>
        <v>Biały (E23)</v>
      </c>
      <c r="E451" t="s">
        <v>2131</v>
      </c>
      <c r="F451">
        <v>1</v>
      </c>
      <c r="G451" t="str">
        <f>Překlady!$A$154</f>
        <v>Mechanizmu C3 nie da się zastosować przy poziomym ruchu żaluzji.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Mechanizmu C3 nie da się zastosować przy poziomym ruchu żaluzji.</v>
      </c>
      <c r="N451">
        <f t="shared" ref="N451:N482" si="23">F:F</f>
        <v>1</v>
      </c>
    </row>
    <row r="452" spans="1:14" x14ac:dyDescent="0.2">
      <c r="A452" s="255" t="str">
        <f>výpočty!$R$15</f>
        <v>Poziomy (z lewej strony na prawą)</v>
      </c>
      <c r="B452" t="str">
        <f>výpočty!$R$11</f>
        <v>Z mecjanizmem C3</v>
      </c>
      <c r="C452" t="str">
        <f>výpočty!$R$6</f>
        <v>TOP - wpuszczany do przykręcenia metalowy z listwą maskującą</v>
      </c>
      <c r="D452" s="36" t="str">
        <f>výpočty!$W$5</f>
        <v>Szary (E23)</v>
      </c>
      <c r="E452" t="s">
        <v>2131</v>
      </c>
      <c r="F452">
        <v>1</v>
      </c>
      <c r="G452" t="str">
        <f>Překlady!$A$154</f>
        <v>Mechanizmu C3 nie da się zastosować przy poziomym ruchu żaluzji.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Mechanizmu C3 nie da się zastosować przy poziomym ruchu żaluzji.</v>
      </c>
      <c r="N452">
        <f t="shared" si="23"/>
        <v>1</v>
      </c>
    </row>
    <row r="453" spans="1:14" x14ac:dyDescent="0.2">
      <c r="A453" s="255" t="str">
        <f>výpočty!$R$15</f>
        <v>Poziomy (z lewej strony na prawą)</v>
      </c>
      <c r="B453" t="str">
        <f>výpočty!$R$11</f>
        <v>Z mecjanizmem C3</v>
      </c>
      <c r="C453" t="str">
        <f>výpočty!$R$6</f>
        <v>TOP - wpuszczany do przykręcenia metalowy z listwą maskującą</v>
      </c>
      <c r="D453" s="36" t="str">
        <f>výpočty!$W$6</f>
        <v>Aluminowa plastik (E23)</v>
      </c>
      <c r="E453" t="s">
        <v>2131</v>
      </c>
      <c r="F453">
        <v>1</v>
      </c>
      <c r="G453" t="str">
        <f>Překlady!$A$154</f>
        <v>Mechanizmu C3 nie da się zastosować przy poziomym ruchu żaluzji.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Mechanizmu C3 nie da się zastosować przy poziomym ruchu żaluzji.</v>
      </c>
      <c r="N453">
        <f t="shared" si="23"/>
        <v>1</v>
      </c>
    </row>
    <row r="454" spans="1:14" x14ac:dyDescent="0.2">
      <c r="A454" s="255" t="str">
        <f>výpočty!$R$15</f>
        <v>Poziomy (z lewej strony na prawą)</v>
      </c>
      <c r="B454" t="str">
        <f>výpočty!$R$11</f>
        <v>Z mecjanizmem C3</v>
      </c>
      <c r="C454" t="str">
        <f>výpočty!$R$6</f>
        <v>TOP - wpuszczany do przykręcenia metalowy z listwą maskującą</v>
      </c>
      <c r="D454" s="36" t="str">
        <f>výpočty!$W$7</f>
        <v>Buk (E23)</v>
      </c>
      <c r="E454" t="s">
        <v>2131</v>
      </c>
      <c r="F454">
        <v>1</v>
      </c>
      <c r="G454" t="str">
        <f>Překlady!$A$154</f>
        <v>Mechanizmu C3 nie da się zastosować przy poziomym ruchu żaluzji.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Mechanizmu C3 nie da się zastosować przy poziomym ruchu żaluzji.</v>
      </c>
      <c r="N454">
        <f t="shared" si="23"/>
        <v>1</v>
      </c>
    </row>
    <row r="455" spans="1:14" x14ac:dyDescent="0.2">
      <c r="A455" s="255" t="str">
        <f>výpočty!$R$15</f>
        <v>Poziomy (z lewej strony na prawą)</v>
      </c>
      <c r="B455" t="str">
        <f>výpočty!$R$11</f>
        <v>Z mecjanizmem C3</v>
      </c>
      <c r="C455" t="str">
        <f>výpočty!$R$6</f>
        <v>TOP - wpuszczany do przykręcenia metalowy z listwą maskującą</v>
      </c>
      <c r="D455" s="36" t="str">
        <f>výpočty!$W$8</f>
        <v>Czereśnia (E23)</v>
      </c>
      <c r="E455" t="s">
        <v>2131</v>
      </c>
      <c r="F455">
        <v>1</v>
      </c>
      <c r="G455" t="str">
        <f>Překlady!$A$154</f>
        <v>Mechanizmu C3 nie da się zastosować przy poziomym ruchu żaluzji.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Mechanizmu C3 nie da się zastosować przy poziomym ruchu żaluzji.</v>
      </c>
      <c r="N455">
        <f t="shared" si="23"/>
        <v>1</v>
      </c>
    </row>
    <row r="456" spans="1:14" x14ac:dyDescent="0.2">
      <c r="A456" s="255" t="str">
        <f>výpočty!$R$15</f>
        <v>Poziomy (z lewej strony na prawą)</v>
      </c>
      <c r="B456" t="str">
        <f>výpočty!$R$11</f>
        <v>Z mecjanizmem C3</v>
      </c>
      <c r="C456" t="str">
        <f>výpočty!$R$6</f>
        <v>TOP - wpuszczany do przykręcenia metalowy z listwą maskującą</v>
      </c>
      <c r="D456" s="36" t="str">
        <f>výpočty!$W$9</f>
        <v>Klon (E23)</v>
      </c>
      <c r="E456" t="s">
        <v>2131</v>
      </c>
      <c r="F456">
        <v>1</v>
      </c>
      <c r="G456" t="str">
        <f>Překlady!$A$154</f>
        <v>Mechanizmu C3 nie da się zastosować przy poziomym ruchu żaluzji.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Mechanizmu C3 nie da się zastosować przy poziomym ruchu żaluzji.</v>
      </c>
      <c r="N456">
        <f t="shared" si="23"/>
        <v>1</v>
      </c>
    </row>
    <row r="457" spans="1:14" x14ac:dyDescent="0.2">
      <c r="A457" s="255" t="str">
        <f>výpočty!$R$15</f>
        <v>Poziomy (z lewej strony na prawą)</v>
      </c>
      <c r="B457" t="str">
        <f>výpočty!$R$11</f>
        <v>Z mecjanizmem C3</v>
      </c>
      <c r="C457" t="str">
        <f>výpočty!$R$6</f>
        <v>TOP - wpuszczany do przykręcenia metalowy z listwą maskującą</v>
      </c>
      <c r="D457" s="36" t="str">
        <f>výpočty!$W$10</f>
        <v>Brzoza (E23)</v>
      </c>
      <c r="E457" t="s">
        <v>2131</v>
      </c>
      <c r="F457">
        <v>1</v>
      </c>
      <c r="G457" t="str">
        <f>Překlady!$A$154</f>
        <v>Mechanizmu C3 nie da się zastosować przy poziomym ruchu żaluzji.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Mechanizmu C3 nie da się zastosować przy poziomym ruchu żaluzji.</v>
      </c>
      <c r="N457">
        <f t="shared" si="23"/>
        <v>1</v>
      </c>
    </row>
    <row r="458" spans="1:14" x14ac:dyDescent="0.2">
      <c r="A458" s="255" t="str">
        <f>výpočty!$R$15</f>
        <v>Poziomy (z lewej strony na prawą)</v>
      </c>
      <c r="B458" t="str">
        <f>výpočty!$R$11</f>
        <v>Z mecjanizmem C3</v>
      </c>
      <c r="C458" t="str">
        <f>výpočty!$R$6</f>
        <v>TOP - wpuszczany do przykręcenia metalowy z listwą maskującą</v>
      </c>
      <c r="D458" s="36" t="str">
        <f>výpočty!$W$11</f>
        <v>Czereśnia havana (E23)</v>
      </c>
      <c r="E458" t="s">
        <v>2131</v>
      </c>
      <c r="F458">
        <v>1</v>
      </c>
      <c r="G458" t="str">
        <f>Překlady!$A$154</f>
        <v>Mechanizmu C3 nie da się zastosować przy poziomym ruchu żaluzji.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Mechanizmu C3 nie da się zastosować przy poziomym ruchu żaluzji.</v>
      </c>
      <c r="N458">
        <f t="shared" si="23"/>
        <v>1</v>
      </c>
    </row>
    <row r="459" spans="1:14" x14ac:dyDescent="0.2">
      <c r="A459" s="255" t="str">
        <f>výpočty!$R$15</f>
        <v>Poziomy (z lewej strony na prawą)</v>
      </c>
      <c r="B459" t="str">
        <f>výpočty!$R$11</f>
        <v>Z mecjanizmem C3</v>
      </c>
      <c r="C459" t="str">
        <f>výpočty!$R$6</f>
        <v>TOP - wpuszczany do przykręcenia metalowy z listwą maskującą</v>
      </c>
      <c r="D459" s="36" t="str">
        <f>výpočty!$W$12</f>
        <v>Calvados (E23)</v>
      </c>
      <c r="E459" t="s">
        <v>2131</v>
      </c>
      <c r="F459">
        <v>1</v>
      </c>
      <c r="G459" t="str">
        <f>Překlady!$A$154</f>
        <v>Mechanizmu C3 nie da się zastosować przy poziomym ruchu żaluzji.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Mechanizmu C3 nie da się zastosować przy poziomym ruchu żaluzji.</v>
      </c>
      <c r="N459">
        <f t="shared" si="23"/>
        <v>1</v>
      </c>
    </row>
    <row r="460" spans="1:14" x14ac:dyDescent="0.2">
      <c r="A460" s="255" t="str">
        <f>výpočty!$R$15</f>
        <v>Poziomy (z lewej strony na prawą)</v>
      </c>
      <c r="B460" t="str">
        <f>výpočty!$R$11</f>
        <v>Z mecjanizmem C3</v>
      </c>
      <c r="C460" t="str">
        <f>výpočty!$R$6</f>
        <v>TOP - wpuszczany do przykręcenia metalowy z listwą maskującą</v>
      </c>
      <c r="D460" s="36" t="str">
        <f>výpočty!$W$14</f>
        <v>śnieżno biala mat (E9)</v>
      </c>
      <c r="E460" t="s">
        <v>2131</v>
      </c>
      <c r="F460">
        <v>1</v>
      </c>
      <c r="G460" t="str">
        <f>Překlady!$A$154</f>
        <v>Mechanizmu C3 nie da się zastosować przy poziomym ruchu żaluzji.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Mechanizmu C3 nie da się zastosować przy poziomym ruchu żaluzji.</v>
      </c>
      <c r="N460">
        <f t="shared" si="23"/>
        <v>1</v>
      </c>
    </row>
    <row r="461" spans="1:14" x14ac:dyDescent="0.2">
      <c r="A461" s="255" t="str">
        <f>výpočty!$R$15</f>
        <v>Poziomy (z lewej strony na prawą)</v>
      </c>
      <c r="B461" t="str">
        <f>výpočty!$R$11</f>
        <v>Z mecjanizmem C3</v>
      </c>
      <c r="C461" t="str">
        <f>výpočty!$R$6</f>
        <v>TOP - wpuszczany do przykręcenia metalowy z listwą maskującą</v>
      </c>
      <c r="D461" s="36" t="str">
        <f>výpočty!$W$15</f>
        <v>Aluminowa plastik (E4)</v>
      </c>
      <c r="E461" t="s">
        <v>2131</v>
      </c>
      <c r="F461">
        <v>1</v>
      </c>
      <c r="G461" s="321" t="str">
        <f>Překlady!$A$143</f>
        <v>Kolor aluminium plastik w profilu E4 jest idealny do poziomych rozwiązań w kombinacji z prowadzeniem Classic z systemem nawijania do tyłu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>Kolor aluminium plastik w profilu E4 jest idealny do poziomych rozwiązań w kombinacji z prowadzeniem Classic z systemem nawijania do tyłu</v>
      </c>
      <c r="N461">
        <f t="shared" si="23"/>
        <v>1</v>
      </c>
    </row>
    <row r="462" spans="1:14" x14ac:dyDescent="0.2">
      <c r="A462" s="255" t="str">
        <f>výpočty!$R$15</f>
        <v>Poziomy (z lewej strony na prawą)</v>
      </c>
      <c r="B462" t="str">
        <f>výpočty!$R$11</f>
        <v>Z mecjanizmem C3</v>
      </c>
      <c r="C462" t="str">
        <f>výpočty!$R$6</f>
        <v>TOP - wpuszczany do przykręcenia metalowy z listwą maskującą</v>
      </c>
      <c r="D462" s="36">
        <f>výpočty!$W$17</f>
        <v>0</v>
      </c>
      <c r="E462" t="s">
        <v>2131</v>
      </c>
      <c r="F462">
        <v>1</v>
      </c>
      <c r="G462" t="str">
        <f>Překlady!$A$154</f>
        <v>Mechanizmu C3 nie da się zastosować przy poziomym ruchu żaluzji.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Mechanizmu C3 nie da się zastosować przy poziomym ruchu żaluzji.</v>
      </c>
      <c r="N462">
        <f t="shared" si="23"/>
        <v>1</v>
      </c>
    </row>
    <row r="463" spans="1:14" x14ac:dyDescent="0.2">
      <c r="A463" s="255" t="str">
        <f>výpočty!$R$15</f>
        <v>Poziomy (z lewej strony na prawą)</v>
      </c>
      <c r="B463" t="str">
        <f>výpočty!$R$11</f>
        <v>Z mecjanizmem C3</v>
      </c>
      <c r="C463" t="str">
        <f>výpočty!$R$6</f>
        <v>TOP - wpuszczany do przykręcenia metalowy z listwą maskującą</v>
      </c>
      <c r="D463" s="36">
        <f>výpočty!$W$18</f>
        <v>0</v>
      </c>
      <c r="E463" t="s">
        <v>2131</v>
      </c>
      <c r="F463">
        <v>1</v>
      </c>
      <c r="G463" t="str">
        <f>Překlady!$A$154</f>
        <v>Mechanizmu C3 nie da się zastosować przy poziomym ruchu żaluzji.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Mechanizmu C3 nie da się zastosować przy poziomym ruchu żaluzji.</v>
      </c>
      <c r="N463">
        <f t="shared" si="23"/>
        <v>1</v>
      </c>
    </row>
    <row r="464" spans="1:14" x14ac:dyDescent="0.2">
      <c r="A464" s="255" t="str">
        <f>výpočty!$R$15</f>
        <v>Poziomy (z lewej strony na prawą)</v>
      </c>
      <c r="B464" t="str">
        <f>výpočty!$R$11</f>
        <v>Z mecjanizmem C3</v>
      </c>
      <c r="C464" t="str">
        <f>výpočty!$R$6</f>
        <v>TOP - wpuszczany do przykręcenia metalowy z listwą maskującą</v>
      </c>
      <c r="D464" s="36" t="str">
        <f>výpočty!$W$19</f>
        <v>Aluminium szerokość 25 mm (metallic-line)</v>
      </c>
      <c r="E464" t="s">
        <v>2131</v>
      </c>
      <c r="F464">
        <v>1</v>
      </c>
      <c r="G464" t="str">
        <f>Překlady!$A$154</f>
        <v>Mechanizmu C3 nie da się zastosować przy poziomym ruchu żaluzji.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Mechanizmu C3 nie da się zastosować przy poziomym ruchu żaluzji.</v>
      </c>
      <c r="N464">
        <f t="shared" si="23"/>
        <v>1</v>
      </c>
    </row>
    <row r="465" spans="1:14" ht="13.5" thickBot="1" x14ac:dyDescent="0.25">
      <c r="A465" s="255" t="str">
        <f>výpočty!$R$15</f>
        <v>Poziomy (z lewej strony na prawą)</v>
      </c>
      <c r="B465" t="str">
        <f>výpočty!$R$11</f>
        <v>Z mecjanizmem C3</v>
      </c>
      <c r="C465" t="str">
        <f>výpočty!$R$6</f>
        <v>TOP - wpuszczany do przykręcenia metalowy z listwą maskującą</v>
      </c>
      <c r="D465" s="27" t="str">
        <f>výpočty!$W$20</f>
        <v>Nierdz. szerokość 25 mm (metallic-line)</v>
      </c>
      <c r="E465" t="s">
        <v>2131</v>
      </c>
      <c r="F465">
        <v>1</v>
      </c>
      <c r="G465" t="str">
        <f>Překlady!$A$154</f>
        <v>Mechanizmu C3 nie da się zastosować przy poziomym ruchu żaluzji.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Mechanizmu C3 nie da się zastosować przy poziomym ruchu żaluzji.</v>
      </c>
      <c r="N465">
        <f t="shared" si="23"/>
        <v>1</v>
      </c>
    </row>
    <row r="466" spans="1:14" x14ac:dyDescent="0.2">
      <c r="A466" s="255" t="str">
        <f>výpočty!$R$15</f>
        <v>Poziomy (z lewej strony na prawą)</v>
      </c>
      <c r="B466" t="str">
        <f>výpočty!$R$11</f>
        <v>Z mecjanizmem C3</v>
      </c>
      <c r="C466" t="str">
        <f>výpočty!$R$7</f>
        <v>Nakładany z prowadzeniem metalic-line 29 mm i mechanimem C3</v>
      </c>
      <c r="D466" s="26" t="str">
        <f>výpočty!$W$3</f>
        <v>Czarny (E23)</v>
      </c>
      <c r="E466" t="s">
        <v>2131</v>
      </c>
      <c r="F466">
        <v>1</v>
      </c>
      <c r="G466" t="str">
        <f>Překlady!$A$154</f>
        <v>Mechanizmu C3 nie da się zastosować przy poziomym ruchu żaluzji.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Mechanizmu C3 nie da się zastosować przy poziomym ruchu żaluzji.</v>
      </c>
      <c r="N466">
        <f t="shared" si="23"/>
        <v>1</v>
      </c>
    </row>
    <row r="467" spans="1:14" x14ac:dyDescent="0.2">
      <c r="A467" s="255" t="str">
        <f>výpočty!$R$15</f>
        <v>Poziomy (z lewej strony na prawą)</v>
      </c>
      <c r="B467" t="str">
        <f>výpočty!$R$11</f>
        <v>Z mecjanizmem C3</v>
      </c>
      <c r="C467" t="str">
        <f>výpočty!$R$7</f>
        <v>Nakładany z prowadzeniem metalic-line 29 mm i mechanimem C3</v>
      </c>
      <c r="D467" s="36" t="str">
        <f>výpočty!$W$4</f>
        <v>Biały (E23)</v>
      </c>
      <c r="E467" t="s">
        <v>2131</v>
      </c>
      <c r="F467">
        <v>1</v>
      </c>
      <c r="G467" t="str">
        <f>Překlady!$A$154</f>
        <v>Mechanizmu C3 nie da się zastosować przy poziomym ruchu żaluzji.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Mechanizmu C3 nie da się zastosować przy poziomym ruchu żaluzji.</v>
      </c>
      <c r="N467">
        <f t="shared" si="23"/>
        <v>1</v>
      </c>
    </row>
    <row r="468" spans="1:14" x14ac:dyDescent="0.2">
      <c r="A468" s="255" t="str">
        <f>výpočty!$R$15</f>
        <v>Poziomy (z lewej strony na prawą)</v>
      </c>
      <c r="B468" t="str">
        <f>výpočty!$R$11</f>
        <v>Z mecjanizmem C3</v>
      </c>
      <c r="C468" t="str">
        <f>výpočty!$R$7</f>
        <v>Nakładany z prowadzeniem metalic-line 29 mm i mechanimem C3</v>
      </c>
      <c r="D468" s="36" t="str">
        <f>výpočty!$W$5</f>
        <v>Szary (E23)</v>
      </c>
      <c r="E468" t="s">
        <v>2131</v>
      </c>
      <c r="F468">
        <v>1</v>
      </c>
      <c r="G468" t="str">
        <f>Překlady!$A$154</f>
        <v>Mechanizmu C3 nie da się zastosować przy poziomym ruchu żaluzji.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Mechanizmu C3 nie da się zastosować przy poziomym ruchu żaluzji.</v>
      </c>
      <c r="N468">
        <f t="shared" si="23"/>
        <v>1</v>
      </c>
    </row>
    <row r="469" spans="1:14" x14ac:dyDescent="0.2">
      <c r="A469" s="255" t="str">
        <f>výpočty!$R$15</f>
        <v>Poziomy (z lewej strony na prawą)</v>
      </c>
      <c r="B469" t="str">
        <f>výpočty!$R$11</f>
        <v>Z mecjanizmem C3</v>
      </c>
      <c r="C469" t="str">
        <f>výpočty!$R$7</f>
        <v>Nakładany z prowadzeniem metalic-line 29 mm i mechanimem C3</v>
      </c>
      <c r="D469" s="36" t="str">
        <f>výpočty!$W$6</f>
        <v>Aluminowa plastik (E23)</v>
      </c>
      <c r="E469" t="s">
        <v>2131</v>
      </c>
      <c r="F469">
        <v>1</v>
      </c>
      <c r="G469" t="str">
        <f>Překlady!$A$154</f>
        <v>Mechanizmu C3 nie da się zastosować przy poziomym ruchu żaluzji.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Mechanizmu C3 nie da się zastosować przy poziomym ruchu żaluzji.</v>
      </c>
      <c r="N469">
        <f t="shared" si="23"/>
        <v>1</v>
      </c>
    </row>
    <row r="470" spans="1:14" x14ac:dyDescent="0.2">
      <c r="A470" s="255" t="str">
        <f>výpočty!$R$15</f>
        <v>Poziomy (z lewej strony na prawą)</v>
      </c>
      <c r="B470" t="str">
        <f>výpočty!$R$11</f>
        <v>Z mecjanizmem C3</v>
      </c>
      <c r="C470" t="str">
        <f>výpočty!$R$7</f>
        <v>Nakładany z prowadzeniem metalic-line 29 mm i mechanimem C3</v>
      </c>
      <c r="D470" s="36" t="str">
        <f>výpočty!$W$7</f>
        <v>Buk (E23)</v>
      </c>
      <c r="E470" t="s">
        <v>2131</v>
      </c>
      <c r="F470">
        <v>1</v>
      </c>
      <c r="G470" t="str">
        <f>Překlady!$A$154</f>
        <v>Mechanizmu C3 nie da się zastosować przy poziomym ruchu żaluzji.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Mechanizmu C3 nie da się zastosować przy poziomym ruchu żaluzji.</v>
      </c>
      <c r="N470">
        <f t="shared" si="23"/>
        <v>1</v>
      </c>
    </row>
    <row r="471" spans="1:14" x14ac:dyDescent="0.2">
      <c r="A471" s="255" t="str">
        <f>výpočty!$R$15</f>
        <v>Poziomy (z lewej strony na prawą)</v>
      </c>
      <c r="B471" t="str">
        <f>výpočty!$R$11</f>
        <v>Z mecjanizmem C3</v>
      </c>
      <c r="C471" t="str">
        <f>výpočty!$R$7</f>
        <v>Nakładany z prowadzeniem metalic-line 29 mm i mechanimem C3</v>
      </c>
      <c r="D471" s="36" t="str">
        <f>výpočty!$W$8</f>
        <v>Czereśnia (E23)</v>
      </c>
      <c r="E471" t="s">
        <v>2131</v>
      </c>
      <c r="F471">
        <v>1</v>
      </c>
      <c r="G471" t="str">
        <f>Překlady!$A$154</f>
        <v>Mechanizmu C3 nie da się zastosować przy poziomym ruchu żaluzji.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Mechanizmu C3 nie da się zastosować przy poziomym ruchu żaluzji.</v>
      </c>
      <c r="N471">
        <f t="shared" si="23"/>
        <v>1</v>
      </c>
    </row>
    <row r="472" spans="1:14" x14ac:dyDescent="0.2">
      <c r="A472" s="255" t="str">
        <f>výpočty!$R$15</f>
        <v>Poziomy (z lewej strony na prawą)</v>
      </c>
      <c r="B472" t="str">
        <f>výpočty!$R$11</f>
        <v>Z mecjanizmem C3</v>
      </c>
      <c r="C472" t="str">
        <f>výpočty!$R$7</f>
        <v>Nakładany z prowadzeniem metalic-line 29 mm i mechanimem C3</v>
      </c>
      <c r="D472" s="36" t="str">
        <f>výpočty!$W$9</f>
        <v>Klon (E23)</v>
      </c>
      <c r="E472" t="s">
        <v>2131</v>
      </c>
      <c r="F472">
        <v>1</v>
      </c>
      <c r="G472" t="str">
        <f>Překlady!$A$154</f>
        <v>Mechanizmu C3 nie da się zastosować przy poziomym ruchu żaluzji.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Mechanizmu C3 nie da się zastosować przy poziomym ruchu żaluzji.</v>
      </c>
      <c r="N472">
        <f t="shared" si="23"/>
        <v>1</v>
      </c>
    </row>
    <row r="473" spans="1:14" x14ac:dyDescent="0.2">
      <c r="A473" s="255" t="str">
        <f>výpočty!$R$15</f>
        <v>Poziomy (z lewej strony na prawą)</v>
      </c>
      <c r="B473" t="str">
        <f>výpočty!$R$11</f>
        <v>Z mecjanizmem C3</v>
      </c>
      <c r="C473" t="str">
        <f>výpočty!$R$7</f>
        <v>Nakładany z prowadzeniem metalic-line 29 mm i mechanimem C3</v>
      </c>
      <c r="D473" s="36" t="str">
        <f>výpočty!$W$10</f>
        <v>Brzoza (E23)</v>
      </c>
      <c r="E473" t="s">
        <v>2131</v>
      </c>
      <c r="F473">
        <v>1</v>
      </c>
      <c r="G473" t="str">
        <f>Překlady!$A$154</f>
        <v>Mechanizmu C3 nie da się zastosować przy poziomym ruchu żaluzji.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Mechanizmu C3 nie da się zastosować przy poziomym ruchu żaluzji.</v>
      </c>
      <c r="N473">
        <f t="shared" si="23"/>
        <v>1</v>
      </c>
    </row>
    <row r="474" spans="1:14" x14ac:dyDescent="0.2">
      <c r="A474" s="255" t="str">
        <f>výpočty!$R$15</f>
        <v>Poziomy (z lewej strony na prawą)</v>
      </c>
      <c r="B474" t="str">
        <f>výpočty!$R$11</f>
        <v>Z mecjanizmem C3</v>
      </c>
      <c r="C474" t="str">
        <f>výpočty!$R$7</f>
        <v>Nakładany z prowadzeniem metalic-line 29 mm i mechanimem C3</v>
      </c>
      <c r="D474" s="36" t="str">
        <f>výpočty!$W$11</f>
        <v>Czereśnia havana (E23)</v>
      </c>
      <c r="E474" t="s">
        <v>2131</v>
      </c>
      <c r="F474">
        <v>1</v>
      </c>
      <c r="G474" t="str">
        <f>Překlady!$A$154</f>
        <v>Mechanizmu C3 nie da się zastosować przy poziomym ruchu żaluzji.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Mechanizmu C3 nie da się zastosować przy poziomym ruchu żaluzji.</v>
      </c>
      <c r="N474">
        <f t="shared" si="23"/>
        <v>1</v>
      </c>
    </row>
    <row r="475" spans="1:14" x14ac:dyDescent="0.2">
      <c r="A475" s="255" t="str">
        <f>výpočty!$R$15</f>
        <v>Poziomy (z lewej strony na prawą)</v>
      </c>
      <c r="B475" t="str">
        <f>výpočty!$R$11</f>
        <v>Z mecjanizmem C3</v>
      </c>
      <c r="C475" t="str">
        <f>výpočty!$R$7</f>
        <v>Nakładany z prowadzeniem metalic-line 29 mm i mechanimem C3</v>
      </c>
      <c r="D475" s="36" t="str">
        <f>výpočty!$W$12</f>
        <v>Calvados (E23)</v>
      </c>
      <c r="E475" t="s">
        <v>2131</v>
      </c>
      <c r="F475">
        <v>1</v>
      </c>
      <c r="G475" t="str">
        <f>Překlady!$A$154</f>
        <v>Mechanizmu C3 nie da się zastosować przy poziomym ruchu żaluzji.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Mechanizmu C3 nie da się zastosować przy poziomym ruchu żaluzji.</v>
      </c>
      <c r="N475">
        <f t="shared" si="23"/>
        <v>1</v>
      </c>
    </row>
    <row r="476" spans="1:14" x14ac:dyDescent="0.2">
      <c r="A476" s="255" t="str">
        <f>výpočty!$R$15</f>
        <v>Poziomy (z lewej strony na prawą)</v>
      </c>
      <c r="B476" t="str">
        <f>výpočty!$R$11</f>
        <v>Z mecjanizmem C3</v>
      </c>
      <c r="C476" t="str">
        <f>výpočty!$R$7</f>
        <v>Nakładany z prowadzeniem metalic-line 29 mm i mechanimem C3</v>
      </c>
      <c r="D476" s="36" t="str">
        <f>výpočty!$W$14</f>
        <v>śnieżno biala mat (E9)</v>
      </c>
      <c r="E476" t="s">
        <v>2131</v>
      </c>
      <c r="F476">
        <v>1</v>
      </c>
      <c r="G476" t="str">
        <f>Překlady!$A$154</f>
        <v>Mechanizmu C3 nie da się zastosować przy poziomym ruchu żaluzji.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Mechanizmu C3 nie da się zastosować przy poziomym ruchu żaluzji.</v>
      </c>
      <c r="N476">
        <f t="shared" si="23"/>
        <v>1</v>
      </c>
    </row>
    <row r="477" spans="1:14" x14ac:dyDescent="0.2">
      <c r="A477" s="255" t="str">
        <f>výpočty!$R$15</f>
        <v>Poziomy (z lewej strony na prawą)</v>
      </c>
      <c r="B477" t="str">
        <f>výpočty!$R$11</f>
        <v>Z mecjanizmem C3</v>
      </c>
      <c r="C477" t="str">
        <f>výpočty!$R$7</f>
        <v>Nakładany z prowadzeniem metalic-line 29 mm i mechanimem C3</v>
      </c>
      <c r="D477" s="36" t="str">
        <f>výpočty!$W$15</f>
        <v>Aluminowa plastik (E4)</v>
      </c>
      <c r="E477" t="s">
        <v>2131</v>
      </c>
      <c r="F477">
        <v>1</v>
      </c>
      <c r="G477" s="321" t="str">
        <f>Překlady!$A$143</f>
        <v>Kolor aluminium plastik w profilu E4 jest idealny do poziomych rozwiązań w kombinacji z prowadzeniem Classic z systemem nawijania do tyłu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>Kolor aluminium plastik w profilu E4 jest idealny do poziomych rozwiązań w kombinacji z prowadzeniem Classic z systemem nawijania do tyłu</v>
      </c>
      <c r="N477">
        <f t="shared" si="23"/>
        <v>1</v>
      </c>
    </row>
    <row r="478" spans="1:14" x14ac:dyDescent="0.2">
      <c r="A478" s="255" t="str">
        <f>výpočty!$R$15</f>
        <v>Poziomy (z lewej strony na prawą)</v>
      </c>
      <c r="B478" t="str">
        <f>výpočty!$R$11</f>
        <v>Z mecjanizmem C3</v>
      </c>
      <c r="C478" t="str">
        <f>výpočty!$R$7</f>
        <v>Nakładany z prowadzeniem metalic-line 29 mm i mechanimem C3</v>
      </c>
      <c r="D478" s="36">
        <f>výpočty!$W$17</f>
        <v>0</v>
      </c>
      <c r="E478" t="s">
        <v>2131</v>
      </c>
      <c r="F478">
        <v>1</v>
      </c>
      <c r="G478" t="str">
        <f>Překlady!$A$154</f>
        <v>Mechanizmu C3 nie da się zastosować przy poziomym ruchu żaluzji.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Mechanizmu C3 nie da się zastosować przy poziomym ruchu żaluzji.</v>
      </c>
      <c r="N478">
        <f t="shared" si="23"/>
        <v>1</v>
      </c>
    </row>
    <row r="479" spans="1:14" x14ac:dyDescent="0.2">
      <c r="A479" s="255" t="str">
        <f>výpočty!$R$15</f>
        <v>Poziomy (z lewej strony na prawą)</v>
      </c>
      <c r="B479" t="str">
        <f>výpočty!$R$11</f>
        <v>Z mecjanizmem C3</v>
      </c>
      <c r="C479" t="str">
        <f>výpočty!$R$7</f>
        <v>Nakładany z prowadzeniem metalic-line 29 mm i mechanimem C3</v>
      </c>
      <c r="D479" s="36">
        <f>výpočty!$W$18</f>
        <v>0</v>
      </c>
      <c r="E479" t="s">
        <v>2131</v>
      </c>
      <c r="F479">
        <v>1</v>
      </c>
      <c r="G479" t="str">
        <f>Překlady!$A$154</f>
        <v>Mechanizmu C3 nie da się zastosować przy poziomym ruchu żaluzji.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Mechanizmu C3 nie da się zastosować przy poziomym ruchu żaluzji.</v>
      </c>
      <c r="N479">
        <f t="shared" si="23"/>
        <v>1</v>
      </c>
    </row>
    <row r="480" spans="1:14" x14ac:dyDescent="0.2">
      <c r="A480" s="255" t="str">
        <f>výpočty!$R$15</f>
        <v>Poziomy (z lewej strony na prawą)</v>
      </c>
      <c r="B480" t="str">
        <f>výpočty!$R$11</f>
        <v>Z mecjanizmem C3</v>
      </c>
      <c r="C480" t="str">
        <f>výpočty!$R$7</f>
        <v>Nakładany z prowadzeniem metalic-line 29 mm i mechanimem C3</v>
      </c>
      <c r="D480" s="36" t="str">
        <f>výpočty!$W$19</f>
        <v>Aluminium szerokość 25 mm (metallic-line)</v>
      </c>
      <c r="E480" t="s">
        <v>2131</v>
      </c>
      <c r="F480">
        <v>1</v>
      </c>
      <c r="G480" t="str">
        <f>Překlady!$A$154</f>
        <v>Mechanizmu C3 nie da się zastosować przy poziomym ruchu żaluzji.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Mechanizmu C3 nie da się zastosować przy poziomym ruchu żaluzji.</v>
      </c>
      <c r="N480">
        <f t="shared" si="23"/>
        <v>1</v>
      </c>
    </row>
    <row r="481" spans="1:14" ht="13.5" thickBot="1" x14ac:dyDescent="0.25">
      <c r="A481" s="255" t="str">
        <f>výpočty!$R$15</f>
        <v>Poziomy (z lewej strony na prawą)</v>
      </c>
      <c r="B481" t="str">
        <f>výpočty!$R$11</f>
        <v>Z mecjanizmem C3</v>
      </c>
      <c r="C481" t="str">
        <f>výpočty!$R$7</f>
        <v>Nakładany z prowadzeniem metalic-line 29 mm i mechanimem C3</v>
      </c>
      <c r="D481" s="27" t="str">
        <f>výpočty!$W$20</f>
        <v>Nierdz. szerokość 25 mm (metallic-line)</v>
      </c>
      <c r="E481" t="s">
        <v>2131</v>
      </c>
      <c r="F481">
        <v>1</v>
      </c>
      <c r="G481" t="str">
        <f>Překlady!$A$154</f>
        <v>Mechanizmu C3 nie da się zastosować przy poziomym ruchu żaluzji.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Mechanizmu C3 nie da się zastosować przy poziomym ruchu żaluzji.</v>
      </c>
      <c r="N481">
        <f t="shared" si="23"/>
        <v>1</v>
      </c>
    </row>
    <row r="482" spans="1:14" x14ac:dyDescent="0.2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2.75" x14ac:dyDescent="0.2"/>
  <cols>
    <col min="1" max="1" width="46.7109375" bestFit="1" customWidth="1"/>
    <col min="2" max="2" width="43.28515625" bestFit="1" customWidth="1"/>
    <col min="3" max="3" width="30.7109375" bestFit="1" customWidth="1"/>
  </cols>
  <sheetData>
    <row r="1" spans="1:7" x14ac:dyDescent="0.2">
      <c r="A1" s="17" t="s">
        <v>1936</v>
      </c>
      <c r="B1" s="17" t="s">
        <v>1937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">
      <c r="A2" t="s">
        <v>1310</v>
      </c>
      <c r="B2" s="321" t="s">
        <v>1939</v>
      </c>
    </row>
    <row r="3" spans="1:7" x14ac:dyDescent="0.2">
      <c r="A3" t="s">
        <v>1309</v>
      </c>
      <c r="B3" s="321" t="s">
        <v>1941</v>
      </c>
    </row>
    <row r="4" spans="1:7" x14ac:dyDescent="0.2">
      <c r="A4" t="s">
        <v>1535</v>
      </c>
      <c r="B4" t="s">
        <v>1938</v>
      </c>
    </row>
    <row r="5" spans="1:7" x14ac:dyDescent="0.2">
      <c r="A5" t="s">
        <v>1311</v>
      </c>
      <c r="B5" s="321" t="s">
        <v>1940</v>
      </c>
    </row>
    <row r="6" spans="1:7" x14ac:dyDescent="0.2">
      <c r="A6" t="s">
        <v>1530</v>
      </c>
      <c r="B6" s="321" t="s">
        <v>1989</v>
      </c>
    </row>
    <row r="13" spans="1:7" x14ac:dyDescent="0.2">
      <c r="A13" s="17" t="s">
        <v>1942</v>
      </c>
    </row>
    <row r="14" spans="1:7" x14ac:dyDescent="0.2">
      <c r="A14" s="321" t="s">
        <v>1943</v>
      </c>
      <c r="C14" s="321" t="s">
        <v>2140</v>
      </c>
    </row>
    <row r="15" spans="1:7" x14ac:dyDescent="0.2">
      <c r="A15" s="321" t="s">
        <v>1982</v>
      </c>
    </row>
    <row r="16" spans="1:7" x14ac:dyDescent="0.2">
      <c r="A16" s="321" t="s">
        <v>1944</v>
      </c>
      <c r="B16" t="s">
        <v>1983</v>
      </c>
      <c r="C16" s="321" t="s">
        <v>2140</v>
      </c>
    </row>
    <row r="17" spans="1:4" x14ac:dyDescent="0.2">
      <c r="A17" s="324" t="s">
        <v>1945</v>
      </c>
      <c r="C17" s="321" t="s">
        <v>2140</v>
      </c>
    </row>
    <row r="18" spans="1:4" x14ac:dyDescent="0.2">
      <c r="A18" s="321" t="s">
        <v>1951</v>
      </c>
      <c r="C18" s="321" t="s">
        <v>2140</v>
      </c>
    </row>
    <row r="19" spans="1:4" x14ac:dyDescent="0.2">
      <c r="A19" s="321" t="s">
        <v>1946</v>
      </c>
      <c r="C19" s="321" t="s">
        <v>2140</v>
      </c>
    </row>
    <row r="20" spans="1:4" x14ac:dyDescent="0.2">
      <c r="A20" s="321" t="s">
        <v>1947</v>
      </c>
      <c r="C20" s="321" t="s">
        <v>2140</v>
      </c>
    </row>
    <row r="21" spans="1:4" x14ac:dyDescent="0.2">
      <c r="A21" s="321" t="s">
        <v>1948</v>
      </c>
    </row>
    <row r="22" spans="1:4" x14ac:dyDescent="0.2">
      <c r="A22" s="321" t="s">
        <v>1949</v>
      </c>
      <c r="C22" s="321" t="s">
        <v>2176</v>
      </c>
    </row>
    <row r="23" spans="1:4" x14ac:dyDescent="0.2">
      <c r="A23" s="321" t="s">
        <v>1950</v>
      </c>
      <c r="C23" s="321" t="s">
        <v>2140</v>
      </c>
    </row>
    <row r="24" spans="1:4" x14ac:dyDescent="0.2">
      <c r="A24" s="321" t="s">
        <v>1952</v>
      </c>
      <c r="C24" s="321" t="s">
        <v>2140</v>
      </c>
    </row>
    <row r="25" spans="1:4" x14ac:dyDescent="0.2">
      <c r="A25" s="321" t="s">
        <v>1988</v>
      </c>
    </row>
    <row r="29" spans="1:4" x14ac:dyDescent="0.2">
      <c r="A29" s="328" t="s">
        <v>1953</v>
      </c>
    </row>
    <row r="30" spans="1:4" x14ac:dyDescent="0.2">
      <c r="A30" s="17" t="s">
        <v>1959</v>
      </c>
      <c r="B30" t="s">
        <v>1306</v>
      </c>
      <c r="C30" t="s">
        <v>1954</v>
      </c>
      <c r="D30">
        <v>353554</v>
      </c>
    </row>
    <row r="31" spans="1:4" x14ac:dyDescent="0.2">
      <c r="A31" t="s">
        <v>1972</v>
      </c>
      <c r="B31" t="s">
        <v>1960</v>
      </c>
      <c r="C31" t="s">
        <v>1955</v>
      </c>
      <c r="D31">
        <v>353559</v>
      </c>
    </row>
    <row r="32" spans="1:4" x14ac:dyDescent="0.2">
      <c r="A32" t="s">
        <v>1973</v>
      </c>
      <c r="B32" t="s">
        <v>1961</v>
      </c>
      <c r="C32" t="s">
        <v>1956</v>
      </c>
      <c r="D32">
        <v>353557</v>
      </c>
    </row>
    <row r="33" spans="1:4" x14ac:dyDescent="0.2">
      <c r="B33" t="s">
        <v>1962</v>
      </c>
      <c r="C33" t="s">
        <v>1957</v>
      </c>
      <c r="D33" t="s">
        <v>1527</v>
      </c>
    </row>
    <row r="34" spans="1:4" x14ac:dyDescent="0.2">
      <c r="B34" t="s">
        <v>1963</v>
      </c>
      <c r="C34" t="s">
        <v>1958</v>
      </c>
      <c r="D34">
        <v>353560</v>
      </c>
    </row>
    <row r="35" spans="1:4" x14ac:dyDescent="0.2">
      <c r="B35" t="s">
        <v>1964</v>
      </c>
      <c r="C35" s="321" t="s">
        <v>2009</v>
      </c>
      <c r="D35" t="s">
        <v>572</v>
      </c>
    </row>
    <row r="36" spans="1:4" x14ac:dyDescent="0.2">
      <c r="B36" t="s">
        <v>1965</v>
      </c>
      <c r="C36" t="s">
        <v>1966</v>
      </c>
      <c r="D36" t="s">
        <v>538</v>
      </c>
    </row>
    <row r="38" spans="1:4" x14ac:dyDescent="0.2">
      <c r="A38" s="17" t="s">
        <v>1967</v>
      </c>
      <c r="B38" t="s">
        <v>1306</v>
      </c>
      <c r="C38" t="s">
        <v>1954</v>
      </c>
      <c r="D38">
        <v>353554</v>
      </c>
    </row>
    <row r="39" spans="1:4" x14ac:dyDescent="0.2">
      <c r="A39" t="s">
        <v>1972</v>
      </c>
      <c r="B39" t="s">
        <v>1960</v>
      </c>
      <c r="C39" t="s">
        <v>1955</v>
      </c>
      <c r="D39">
        <v>353559</v>
      </c>
    </row>
    <row r="40" spans="1:4" x14ac:dyDescent="0.2">
      <c r="A40" t="s">
        <v>1973</v>
      </c>
      <c r="B40" t="s">
        <v>1961</v>
      </c>
      <c r="C40" t="s">
        <v>1956</v>
      </c>
      <c r="D40">
        <v>353557</v>
      </c>
    </row>
    <row r="41" spans="1:4" x14ac:dyDescent="0.2">
      <c r="A41" t="s">
        <v>1974</v>
      </c>
      <c r="B41" t="s">
        <v>1962</v>
      </c>
      <c r="C41" t="s">
        <v>1957</v>
      </c>
      <c r="D41" t="s">
        <v>1527</v>
      </c>
    </row>
    <row r="42" spans="1:4" x14ac:dyDescent="0.2">
      <c r="B42" t="s">
        <v>1963</v>
      </c>
      <c r="C42" t="s">
        <v>1958</v>
      </c>
      <c r="D42">
        <v>353560</v>
      </c>
    </row>
    <row r="43" spans="1:4" x14ac:dyDescent="0.2">
      <c r="B43" t="s">
        <v>1964</v>
      </c>
      <c r="C43" t="s">
        <v>1968</v>
      </c>
      <c r="D43" t="s">
        <v>585</v>
      </c>
    </row>
    <row r="44" spans="1:4" x14ac:dyDescent="0.2">
      <c r="C44" t="s">
        <v>1969</v>
      </c>
      <c r="D44">
        <v>353556</v>
      </c>
    </row>
    <row r="45" spans="1:4" x14ac:dyDescent="0.2">
      <c r="B45" t="s">
        <v>1965</v>
      </c>
      <c r="C45" t="s">
        <v>1970</v>
      </c>
      <c r="D45" t="s">
        <v>606</v>
      </c>
    </row>
    <row r="46" spans="1:4" x14ac:dyDescent="0.2">
      <c r="B46" t="s">
        <v>1971</v>
      </c>
    </row>
    <row r="48" spans="1:4" x14ac:dyDescent="0.2">
      <c r="A48" s="328" t="s">
        <v>1975</v>
      </c>
      <c r="B48" t="s">
        <v>1306</v>
      </c>
      <c r="C48" t="s">
        <v>1976</v>
      </c>
      <c r="D48" s="321" t="s">
        <v>636</v>
      </c>
    </row>
    <row r="49" spans="1:4" x14ac:dyDescent="0.2">
      <c r="A49" t="s">
        <v>1987</v>
      </c>
      <c r="B49" t="s">
        <v>1960</v>
      </c>
      <c r="C49" t="s">
        <v>1977</v>
      </c>
      <c r="D49" t="s">
        <v>557</v>
      </c>
    </row>
    <row r="50" spans="1:4" x14ac:dyDescent="0.2">
      <c r="B50" t="s">
        <v>1961</v>
      </c>
      <c r="C50" t="s">
        <v>1978</v>
      </c>
      <c r="D50" t="s">
        <v>468</v>
      </c>
    </row>
    <row r="51" spans="1:4" x14ac:dyDescent="0.2">
      <c r="B51" t="s">
        <v>1962</v>
      </c>
      <c r="C51" t="s">
        <v>1979</v>
      </c>
      <c r="D51" t="s">
        <v>1527</v>
      </c>
    </row>
    <row r="52" spans="1:4" x14ac:dyDescent="0.2">
      <c r="B52" t="s">
        <v>1963</v>
      </c>
      <c r="C52" t="s">
        <v>1980</v>
      </c>
      <c r="D52" t="s">
        <v>483</v>
      </c>
    </row>
    <row r="53" spans="1:4" x14ac:dyDescent="0.2">
      <c r="B53" t="s">
        <v>1964</v>
      </c>
      <c r="C53" t="s">
        <v>1981</v>
      </c>
      <c r="D53" t="s">
        <v>663</v>
      </c>
    </row>
    <row r="54" spans="1:4" x14ac:dyDescent="0.2">
      <c r="B54" t="s">
        <v>1965</v>
      </c>
      <c r="C54" t="s">
        <v>1966</v>
      </c>
      <c r="D54" t="s">
        <v>684</v>
      </c>
    </row>
    <row r="57" spans="1:4" x14ac:dyDescent="0.2">
      <c r="A57" t="s">
        <v>1984</v>
      </c>
      <c r="B57" t="s">
        <v>1986</v>
      </c>
      <c r="C57" t="s">
        <v>115</v>
      </c>
    </row>
    <row r="58" spans="1:4" x14ac:dyDescent="0.2">
      <c r="A58" t="s">
        <v>1985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R15" sqref="R15"/>
    </sheetView>
  </sheetViews>
  <sheetFormatPr defaultColWidth="9.140625" defaultRowHeight="12.75" x14ac:dyDescent="0.2"/>
  <cols>
    <col min="1" max="1" width="1.5703125" style="221" customWidth="1"/>
    <col min="2" max="2" width="3.28515625" style="221" customWidth="1"/>
    <col min="3" max="3" width="7.42578125" style="221" customWidth="1"/>
    <col min="4" max="5" width="9.140625" style="221"/>
    <col min="6" max="6" width="10" style="221" customWidth="1"/>
    <col min="7" max="7" width="7" style="221" customWidth="1"/>
    <col min="8" max="8" width="9.140625" style="221"/>
    <col min="9" max="9" width="26.140625" style="221" customWidth="1"/>
    <col min="10" max="10" width="15.85546875" style="221" customWidth="1"/>
    <col min="11" max="11" width="7.85546875" style="221" customWidth="1"/>
    <col min="12" max="12" width="10.28515625" style="221" customWidth="1"/>
    <col min="13" max="13" width="12.28515625" style="221" customWidth="1"/>
    <col min="14" max="14" width="12.140625" style="221" customWidth="1"/>
    <col min="15" max="16384" width="9.140625" style="221"/>
  </cols>
  <sheetData>
    <row r="1" spans="2:14" ht="6.75" customHeight="1" x14ac:dyDescent="0.2"/>
    <row r="2" spans="2:14" ht="28.5" x14ac:dyDescent="0.45">
      <c r="B2" s="593" t="str">
        <f>Překlady!A141</f>
        <v xml:space="preserve">Rodzaje profili roletowych 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5"/>
    </row>
    <row r="3" spans="2:14" ht="6.75" customHeight="1" x14ac:dyDescent="0.2"/>
    <row r="4" spans="2:14" x14ac:dyDescent="0.2">
      <c r="C4" s="614" t="s">
        <v>1317</v>
      </c>
      <c r="D4" s="614"/>
      <c r="E4" s="614"/>
      <c r="G4" s="614" t="s">
        <v>2158</v>
      </c>
      <c r="H4" s="614"/>
      <c r="I4" s="614"/>
      <c r="K4" s="614" t="s">
        <v>2159</v>
      </c>
      <c r="L4" s="614"/>
      <c r="M4" s="614"/>
    </row>
    <row r="5" spans="2:14" x14ac:dyDescent="0.2">
      <c r="C5" s="221" t="str">
        <f>Překlady!A165</f>
        <v>plastikowe wykończenie</v>
      </c>
      <c r="G5" s="221" t="str">
        <f>Překlady!A162</f>
        <v>wygląd metaliczny</v>
      </c>
      <c r="K5" s="221" t="str">
        <f>Překlady!A162</f>
        <v>wygląd metaliczny</v>
      </c>
    </row>
    <row r="6" spans="2:14" x14ac:dyDescent="0.2">
      <c r="C6" s="221" t="str">
        <f>Překlady!A166</f>
        <v>profile w różnych kombinacjach kolorystycznych</v>
      </c>
      <c r="G6" s="221" t="str">
        <f>Překlady!A158</f>
        <v>wykończenie kolorystyczne aluminium lub stal nierdzewna</v>
      </c>
      <c r="K6" s="221" t="str">
        <f>Překlady!A158</f>
        <v>wykończenie kolorystyczne aluminium lub stal nierdzewna</v>
      </c>
    </row>
    <row r="7" spans="2:14" x14ac:dyDescent="0.2">
      <c r="C7" s="221" t="str">
        <f>Překlady!$A$20</f>
        <v>Typ systemu prowadzenia</v>
      </c>
      <c r="G7" s="221" t="str">
        <f>Překlady!A164</f>
        <v>szczebelek profilu żaluzjowego jest od wewnątrz otwarty</v>
      </c>
      <c r="K7" s="221" t="str">
        <f>Překlady!A163</f>
        <v>szczebelek profilu żaluzjowego jest zamkniety od wewnątrz</v>
      </c>
    </row>
    <row r="8" spans="2:14" x14ac:dyDescent="0.2">
      <c r="C8" s="362" t="s">
        <v>2170</v>
      </c>
      <c r="G8" s="221" t="str">
        <f>Překlady!$A$20</f>
        <v>Typ systemu prowadzenia</v>
      </c>
      <c r="K8" s="221" t="str">
        <f>Překlady!$A$20</f>
        <v>Typ systemu prowadzenia</v>
      </c>
    </row>
    <row r="9" spans="2:14" x14ac:dyDescent="0.2">
      <c r="C9" s="362" t="s">
        <v>2171</v>
      </c>
      <c r="G9" s="615" t="str">
        <f>Překlady!A159</f>
        <v>Classic (w kombinacji z plastikową prowadnicą)</v>
      </c>
      <c r="H9" s="615"/>
      <c r="I9" s="615"/>
      <c r="K9" s="363" t="str">
        <f>Překlady!A159</f>
        <v>Classic (w kombinacji z plastikową prowadnicą)</v>
      </c>
    </row>
    <row r="10" spans="2:14" x14ac:dyDescent="0.2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2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2">
      <c r="G12" s="616" t="str">
        <f>Překlady!A38</f>
        <v>Nakładany z prowadzeniem metalic-line 29 mm i mechanimem C3</v>
      </c>
      <c r="H12" s="616"/>
      <c r="I12" s="616"/>
      <c r="K12" s="616" t="str">
        <f>Překlady!A38</f>
        <v>Nakładany z prowadzeniem metalic-line 29 mm i mechanimem C3</v>
      </c>
      <c r="L12" s="616"/>
      <c r="M12" s="616"/>
      <c r="N12" s="616"/>
    </row>
    <row r="16" spans="2:14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spans="4:11" ht="6.75" customHeight="1" x14ac:dyDescent="0.2"/>
    <row r="34" spans="4:11" ht="6.75" customHeight="1" x14ac:dyDescent="0.2"/>
    <row r="35" spans="4:11" ht="6.75" customHeight="1" x14ac:dyDescent="0.2"/>
    <row r="36" spans="4:11" ht="6.75" customHeight="1" x14ac:dyDescent="0.2"/>
    <row r="37" spans="4:11" ht="6.75" customHeight="1" x14ac:dyDescent="0.2"/>
    <row r="38" spans="4:11" ht="6.75" customHeight="1" x14ac:dyDescent="0.2"/>
    <row r="39" spans="4:11" ht="6.75" customHeight="1" x14ac:dyDescent="0.2"/>
    <row r="40" spans="4:11" ht="12" customHeight="1" x14ac:dyDescent="0.2">
      <c r="D40" s="614" t="s">
        <v>2007</v>
      </c>
      <c r="E40" s="614"/>
      <c r="F40" s="614"/>
      <c r="I40" s="614" t="s">
        <v>2006</v>
      </c>
      <c r="J40" s="614"/>
      <c r="K40" s="614"/>
    </row>
    <row r="41" spans="4:11" x14ac:dyDescent="0.2">
      <c r="D41" s="221" t="str">
        <f>Překlady!A165</f>
        <v>plastikowe wykończenie</v>
      </c>
      <c r="I41" s="221" t="str">
        <f>Překlady!A165</f>
        <v>plastikowe wykończenie</v>
      </c>
    </row>
    <row r="42" spans="4:11" x14ac:dyDescent="0.2">
      <c r="D42" s="221" t="str">
        <f>Překlady!A167</f>
        <v>na magazynie design w kolorze śnieżno białym</v>
      </c>
      <c r="I42" s="221" t="str">
        <f>Překlady!A161</f>
        <v>jedynie kolor aluminium plastik</v>
      </c>
    </row>
    <row r="43" spans="4:11" x14ac:dyDescent="0.2">
      <c r="D43" s="221" t="str">
        <f>Překlady!A160</f>
        <v>elegancki wygląd</v>
      </c>
      <c r="I43" s="221" t="str">
        <f>Překlady!A168</f>
        <v xml:space="preserve">odpowiednie do wysokich prowadzeń poziomych </v>
      </c>
    </row>
    <row r="44" spans="4:11" x14ac:dyDescent="0.2">
      <c r="D44" s="221" t="str">
        <f>Překlady!$A$20</f>
        <v>Typ systemu prowadzenia</v>
      </c>
      <c r="I44" s="221" t="str">
        <f>Překlady!$A$20</f>
        <v>Typ systemu prowadzenia</v>
      </c>
    </row>
    <row r="45" spans="4:11" x14ac:dyDescent="0.2">
      <c r="D45" s="363" t="s">
        <v>2170</v>
      </c>
      <c r="I45" s="363" t="s">
        <v>2170</v>
      </c>
    </row>
    <row r="46" spans="4:11" x14ac:dyDescent="0.2">
      <c r="D46" s="363" t="s">
        <v>3</v>
      </c>
    </row>
    <row r="47" spans="4:11" ht="6.75" customHeight="1" x14ac:dyDescent="0.2"/>
    <row r="48" spans="4:11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  <row r="63" ht="6.75" customHeight="1" x14ac:dyDescent="0.2"/>
    <row r="64" ht="6.75" customHeight="1" x14ac:dyDescent="0.2"/>
    <row r="65" spans="2:14" ht="6.75" customHeight="1" x14ac:dyDescent="0.2"/>
    <row r="66" spans="2:14" ht="6.75" customHeight="1" x14ac:dyDescent="0.2"/>
    <row r="67" spans="2:14" ht="6.75" customHeight="1" x14ac:dyDescent="0.2"/>
    <row r="68" spans="2:14" ht="6.75" customHeight="1" x14ac:dyDescent="0.2"/>
    <row r="69" spans="2:14" ht="6.75" customHeight="1" x14ac:dyDescent="0.2"/>
    <row r="70" spans="2:14" ht="28.5" x14ac:dyDescent="0.45">
      <c r="B70" s="593" t="str">
        <f>Překlady!$A$14</f>
        <v>System nawijania</v>
      </c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5"/>
    </row>
    <row r="71" spans="2:14" x14ac:dyDescent="0.2">
      <c r="B71" s="222"/>
      <c r="N71" s="223"/>
    </row>
    <row r="72" spans="2:14" x14ac:dyDescent="0.2">
      <c r="B72" s="222"/>
      <c r="C72" s="603" t="str">
        <f>Překlady!$A$55</f>
        <v>Do tyłu</v>
      </c>
      <c r="D72" s="603"/>
      <c r="E72" s="603"/>
      <c r="G72" s="602" t="str">
        <f>Překlady!$A$56</f>
        <v>Do ślimaka roletowego</v>
      </c>
      <c r="H72" s="602"/>
      <c r="I72" s="227"/>
      <c r="K72" s="602" t="str">
        <f>Překlady!$A$57</f>
        <v>Z mecjanizmem C3</v>
      </c>
      <c r="L72" s="602"/>
      <c r="M72" s="602"/>
      <c r="N72" s="223"/>
    </row>
    <row r="73" spans="2:14" x14ac:dyDescent="0.2">
      <c r="B73" s="222"/>
      <c r="N73" s="223"/>
    </row>
    <row r="74" spans="2:14" x14ac:dyDescent="0.2">
      <c r="B74" s="222"/>
      <c r="N74" s="223"/>
    </row>
    <row r="75" spans="2:14" x14ac:dyDescent="0.2">
      <c r="B75" s="222"/>
      <c r="N75" s="223"/>
    </row>
    <row r="76" spans="2:14" x14ac:dyDescent="0.2">
      <c r="B76" s="222"/>
      <c r="N76" s="223"/>
    </row>
    <row r="77" spans="2:14" x14ac:dyDescent="0.2">
      <c r="B77" s="222"/>
      <c r="N77" s="223"/>
    </row>
    <row r="78" spans="2:14" x14ac:dyDescent="0.2">
      <c r="B78" s="222"/>
      <c r="N78" s="223"/>
    </row>
    <row r="79" spans="2:14" x14ac:dyDescent="0.2">
      <c r="B79" s="222"/>
      <c r="N79" s="223"/>
    </row>
    <row r="80" spans="2:14" x14ac:dyDescent="0.2">
      <c r="B80" s="222"/>
      <c r="N80" s="223"/>
    </row>
    <row r="81" spans="2:14" ht="30.75" customHeight="1" x14ac:dyDescent="0.2">
      <c r="B81" s="222"/>
      <c r="N81" s="223"/>
    </row>
    <row r="82" spans="2:14" ht="4.5" customHeight="1" x14ac:dyDescent="0.2">
      <c r="B82" s="222"/>
      <c r="N82" s="223"/>
    </row>
    <row r="83" spans="2:14" ht="4.5" customHeight="1" x14ac:dyDescent="0.2">
      <c r="B83" s="222"/>
      <c r="N83" s="223"/>
    </row>
    <row r="84" spans="2:14" ht="4.5" customHeight="1" x14ac:dyDescent="0.2">
      <c r="B84" s="222"/>
      <c r="N84" s="223"/>
    </row>
    <row r="85" spans="2:14" ht="28.5" x14ac:dyDescent="0.45">
      <c r="B85" s="596" t="str">
        <f>Překlady!$A$19</f>
        <v>Kierunek ruchu</v>
      </c>
      <c r="C85" s="597"/>
      <c r="D85" s="597"/>
      <c r="E85" s="597"/>
      <c r="F85" s="597"/>
      <c r="G85" s="597"/>
      <c r="H85" s="597"/>
      <c r="I85" s="597"/>
      <c r="J85" s="597"/>
      <c r="K85" s="597"/>
      <c r="L85" s="597"/>
      <c r="M85" s="597"/>
      <c r="N85" s="598"/>
    </row>
    <row r="86" spans="2:14" x14ac:dyDescent="0.2">
      <c r="B86" s="222"/>
      <c r="N86" s="223"/>
    </row>
    <row r="87" spans="2:14" ht="13.5" customHeight="1" x14ac:dyDescent="0.2">
      <c r="B87" s="222"/>
      <c r="C87" s="602" t="str">
        <f>Překlady!$A$59</f>
        <v>Poziomy (z lewej strony na prawą)</v>
      </c>
      <c r="D87" s="602"/>
      <c r="E87" s="602"/>
      <c r="F87" s="602" t="str">
        <f>Překlady!$A$58</f>
        <v>Pionowy (z góry na dół)</v>
      </c>
      <c r="G87" s="602"/>
      <c r="H87" s="602"/>
      <c r="N87" s="223"/>
    </row>
    <row r="88" spans="2:14" x14ac:dyDescent="0.2">
      <c r="B88" s="222"/>
      <c r="N88" s="223"/>
    </row>
    <row r="89" spans="2:14" x14ac:dyDescent="0.2">
      <c r="B89" s="222"/>
      <c r="N89" s="223"/>
    </row>
    <row r="90" spans="2:14" x14ac:dyDescent="0.2">
      <c r="B90" s="222"/>
      <c r="N90" s="223"/>
    </row>
    <row r="91" spans="2:14" x14ac:dyDescent="0.2">
      <c r="B91" s="222"/>
      <c r="N91" s="223"/>
    </row>
    <row r="92" spans="2:14" x14ac:dyDescent="0.2">
      <c r="B92" s="222"/>
      <c r="N92" s="223"/>
    </row>
    <row r="93" spans="2:14" x14ac:dyDescent="0.2">
      <c r="B93" s="222"/>
      <c r="N93" s="223"/>
    </row>
    <row r="94" spans="2:14" x14ac:dyDescent="0.2">
      <c r="B94" s="222"/>
      <c r="N94" s="223"/>
    </row>
    <row r="95" spans="2:14" x14ac:dyDescent="0.2">
      <c r="B95" s="222"/>
      <c r="N95" s="223"/>
    </row>
    <row r="96" spans="2:14" x14ac:dyDescent="0.2">
      <c r="B96" s="222"/>
      <c r="N96" s="223"/>
    </row>
    <row r="97" spans="2:14" x14ac:dyDescent="0.2">
      <c r="B97" s="222"/>
      <c r="N97" s="223"/>
    </row>
    <row r="98" spans="2:14" x14ac:dyDescent="0.2">
      <c r="B98" s="222"/>
      <c r="N98" s="223"/>
    </row>
    <row r="99" spans="2:14" ht="5.25" customHeight="1" x14ac:dyDescent="0.2">
      <c r="B99" s="222"/>
      <c r="N99" s="223"/>
    </row>
    <row r="100" spans="2:14" ht="5.25" customHeight="1" x14ac:dyDescent="0.2">
      <c r="B100" s="222"/>
      <c r="N100" s="223"/>
    </row>
    <row r="101" spans="2:14" ht="5.25" customHeight="1" x14ac:dyDescent="0.2">
      <c r="B101" s="222"/>
      <c r="N101" s="223"/>
    </row>
    <row r="102" spans="2:14" ht="28.5" x14ac:dyDescent="0.45">
      <c r="B102" s="599" t="str">
        <f>Překlady!$A$35</f>
        <v>Typ systemu prowadzenia</v>
      </c>
      <c r="C102" s="600"/>
      <c r="D102" s="600"/>
      <c r="E102" s="600"/>
      <c r="F102" s="600"/>
      <c r="G102" s="600"/>
      <c r="H102" s="600"/>
      <c r="I102" s="600"/>
      <c r="J102" s="600"/>
      <c r="K102" s="600"/>
      <c r="L102" s="600"/>
      <c r="M102" s="600"/>
      <c r="N102" s="601"/>
    </row>
    <row r="103" spans="2:14" x14ac:dyDescent="0.2">
      <c r="B103" s="222"/>
      <c r="N103" s="223"/>
    </row>
    <row r="104" spans="2:14" x14ac:dyDescent="0.2">
      <c r="B104" s="222"/>
      <c r="C104" s="602" t="str">
        <f>Překlady!$A$36</f>
        <v>TOP Basic - wpuszczany do przykręcenia plastikowy</v>
      </c>
      <c r="D104" s="602"/>
      <c r="E104" s="602"/>
      <c r="H104" s="602" t="str">
        <f>Překlady!$A$37</f>
        <v>Classic - wpuszczany do zafrezowania</v>
      </c>
      <c r="I104" s="602"/>
      <c r="J104" s="602"/>
      <c r="K104" s="602"/>
      <c r="N104" s="223"/>
    </row>
    <row r="105" spans="2:14" x14ac:dyDescent="0.2">
      <c r="B105" s="222"/>
      <c r="N105" s="223"/>
    </row>
    <row r="106" spans="2:14" x14ac:dyDescent="0.2">
      <c r="B106" s="222"/>
      <c r="N106" s="223"/>
    </row>
    <row r="107" spans="2:14" x14ac:dyDescent="0.2">
      <c r="B107" s="222"/>
      <c r="N107" s="223"/>
    </row>
    <row r="108" spans="2:14" x14ac:dyDescent="0.2">
      <c r="B108" s="222"/>
      <c r="N108" s="223"/>
    </row>
    <row r="109" spans="2:14" x14ac:dyDescent="0.2">
      <c r="B109" s="222"/>
      <c r="N109" s="223"/>
    </row>
    <row r="110" spans="2:14" x14ac:dyDescent="0.2">
      <c r="B110" s="222"/>
      <c r="N110" s="223"/>
    </row>
    <row r="111" spans="2:14" x14ac:dyDescent="0.2">
      <c r="B111" s="222"/>
      <c r="N111" s="223"/>
    </row>
    <row r="112" spans="2:14" x14ac:dyDescent="0.2">
      <c r="B112" s="222"/>
      <c r="N112" s="223"/>
    </row>
    <row r="113" spans="2:14" x14ac:dyDescent="0.2">
      <c r="B113" s="222"/>
      <c r="N113" s="223"/>
    </row>
    <row r="114" spans="2:14" x14ac:dyDescent="0.2">
      <c r="B114" s="222"/>
      <c r="N114" s="223"/>
    </row>
    <row r="115" spans="2:14" x14ac:dyDescent="0.2">
      <c r="B115" s="222"/>
      <c r="N115" s="223"/>
    </row>
    <row r="116" spans="2:14" x14ac:dyDescent="0.2">
      <c r="B116" s="222"/>
      <c r="N116" s="223"/>
    </row>
    <row r="117" spans="2:14" x14ac:dyDescent="0.2">
      <c r="B117" s="222"/>
      <c r="N117" s="223"/>
    </row>
    <row r="118" spans="2:14" x14ac:dyDescent="0.2">
      <c r="B118" s="222"/>
      <c r="N118" s="223"/>
    </row>
    <row r="119" spans="2:14" x14ac:dyDescent="0.2">
      <c r="B119" s="222"/>
      <c r="N119" s="223"/>
    </row>
    <row r="120" spans="2:14" x14ac:dyDescent="0.2">
      <c r="B120" s="222"/>
      <c r="N120" s="223"/>
    </row>
    <row r="121" spans="2:14" ht="9" customHeight="1" x14ac:dyDescent="0.2">
      <c r="B121" s="222"/>
      <c r="N121" s="223"/>
    </row>
    <row r="122" spans="2:14" ht="45" customHeight="1" x14ac:dyDescent="0.2">
      <c r="B122" s="289"/>
      <c r="C122" s="604" t="str">
        <f>Překlady!$A$104</f>
        <v>System do przykręcania. Tory są dostępne jedynie w unikolorach.</v>
      </c>
      <c r="D122" s="604"/>
      <c r="E122" s="604"/>
      <c r="F122" s="604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2">
      <c r="B123" s="222"/>
      <c r="C123" s="536"/>
      <c r="D123" s="536"/>
      <c r="E123" s="536"/>
      <c r="N123" s="223"/>
    </row>
    <row r="124" spans="2:14" ht="27.75" customHeight="1" x14ac:dyDescent="0.2">
      <c r="B124" s="222"/>
      <c r="C124" s="613" t="str">
        <f>Překlady!$A$86</f>
        <v>TOP - wpuszczany do przykręcenia metalowy z listwą maskującą</v>
      </c>
      <c r="D124" s="613"/>
      <c r="E124" s="613"/>
      <c r="F124" s="613"/>
      <c r="G124" s="611" t="str">
        <f>Překlady!$A$85</f>
        <v>Frame - nakładany z listwą maskującą</v>
      </c>
      <c r="H124" s="611"/>
      <c r="I124" s="611"/>
      <c r="J124" s="224"/>
      <c r="K124" s="612" t="str">
        <f>Překlady!$A$38</f>
        <v>Nakładany z prowadzeniem metalic-line 29 mm i mechanimem C3</v>
      </c>
      <c r="L124" s="612"/>
      <c r="M124" s="612"/>
      <c r="N124" s="223"/>
    </row>
    <row r="125" spans="2:14" x14ac:dyDescent="0.2">
      <c r="B125" s="222"/>
      <c r="N125" s="223"/>
    </row>
    <row r="126" spans="2:14" x14ac:dyDescent="0.2">
      <c r="B126" s="222"/>
      <c r="N126" s="223"/>
    </row>
    <row r="127" spans="2:14" x14ac:dyDescent="0.2">
      <c r="B127" s="222"/>
      <c r="N127" s="223"/>
    </row>
    <row r="128" spans="2:14" x14ac:dyDescent="0.2">
      <c r="B128" s="222"/>
      <c r="N128" s="223"/>
    </row>
    <row r="129" spans="2:14" x14ac:dyDescent="0.2">
      <c r="B129" s="222"/>
      <c r="N129" s="223"/>
    </row>
    <row r="130" spans="2:14" x14ac:dyDescent="0.2">
      <c r="B130" s="222"/>
      <c r="N130" s="223"/>
    </row>
    <row r="131" spans="2:14" x14ac:dyDescent="0.2">
      <c r="B131" s="222"/>
      <c r="N131" s="223"/>
    </row>
    <row r="132" spans="2:14" x14ac:dyDescent="0.2">
      <c r="B132" s="222"/>
      <c r="N132" s="223"/>
    </row>
    <row r="133" spans="2:14" x14ac:dyDescent="0.2">
      <c r="B133" s="222"/>
      <c r="N133" s="223"/>
    </row>
    <row r="134" spans="2:14" x14ac:dyDescent="0.2">
      <c r="B134" s="222"/>
      <c r="N134" s="223"/>
    </row>
    <row r="135" spans="2:14" x14ac:dyDescent="0.2">
      <c r="B135" s="222"/>
      <c r="N135" s="223"/>
    </row>
    <row r="136" spans="2:14" x14ac:dyDescent="0.2">
      <c r="B136" s="222"/>
      <c r="N136" s="223"/>
    </row>
    <row r="137" spans="2:14" x14ac:dyDescent="0.2">
      <c r="B137" s="222"/>
      <c r="N137" s="223"/>
    </row>
    <row r="138" spans="2:14" x14ac:dyDescent="0.2">
      <c r="B138" s="222"/>
      <c r="N138" s="223"/>
    </row>
    <row r="139" spans="2:14" x14ac:dyDescent="0.2">
      <c r="B139" s="222"/>
      <c r="N139" s="223"/>
    </row>
    <row r="140" spans="2:14" ht="12.75" customHeight="1" x14ac:dyDescent="0.2">
      <c r="B140" s="222"/>
      <c r="C140" s="592" t="str">
        <f>Překlady!$A$99</f>
        <v>Do przykręcania. Aluminiowe listwy torowe, które mają osłony w takim samym kolorze jak rolety.</v>
      </c>
      <c r="D140" s="592"/>
      <c r="E140" s="592"/>
      <c r="G140" s="592" t="str">
        <f>CONCATENATE(Překlady!$A$100," ",Překlady!$A$101)</f>
        <v xml:space="preserve">System nakładany (FRAME). Prowadnica tego systemu składa się z dwóch części: aluminowego toru i osłony, która jest w tym samym kolorze co roleta. 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H140" s="592"/>
      <c r="I140" s="592"/>
      <c r="J140" s="287"/>
      <c r="K140" s="592" t="str">
        <f>Překlady!$A$173</f>
        <v>Nakładany system prowadzenia (29 mm). Chodzi o prowadzenie w kolorze aluminium lub stali nierdzewnej w profilu Metallic line i w kombinacji z mechanizmem C3. 
Prowadnice należy przed montażem przygotować zgodnie z rysunkiem poniżej.</v>
      </c>
      <c r="L140" s="592"/>
      <c r="M140" s="592"/>
      <c r="N140" s="223"/>
    </row>
    <row r="141" spans="2:14" x14ac:dyDescent="0.2">
      <c r="B141" s="222"/>
      <c r="C141" s="592"/>
      <c r="D141" s="592"/>
      <c r="E141" s="592"/>
      <c r="G141" s="592"/>
      <c r="H141" s="592"/>
      <c r="I141" s="592"/>
      <c r="J141" s="287"/>
      <c r="K141" s="592"/>
      <c r="L141" s="592"/>
      <c r="M141" s="592"/>
      <c r="N141" s="223"/>
    </row>
    <row r="142" spans="2:14" x14ac:dyDescent="0.2">
      <c r="B142" s="222"/>
      <c r="C142" s="592"/>
      <c r="D142" s="592"/>
      <c r="E142" s="592"/>
      <c r="G142" s="592"/>
      <c r="H142" s="592"/>
      <c r="I142" s="592"/>
      <c r="J142" s="287"/>
      <c r="K142" s="592"/>
      <c r="L142" s="592"/>
      <c r="M142" s="592"/>
      <c r="N142" s="223"/>
    </row>
    <row r="143" spans="2:14" x14ac:dyDescent="0.2">
      <c r="B143" s="222"/>
      <c r="C143" s="592"/>
      <c r="D143" s="592"/>
      <c r="E143" s="592"/>
      <c r="G143" s="592"/>
      <c r="H143" s="592"/>
      <c r="I143" s="592"/>
      <c r="J143" s="287"/>
      <c r="K143" s="592"/>
      <c r="L143" s="592"/>
      <c r="M143" s="592"/>
      <c r="N143" s="223"/>
    </row>
    <row r="144" spans="2:14" x14ac:dyDescent="0.2">
      <c r="B144" s="222"/>
      <c r="C144" s="592"/>
      <c r="D144" s="592"/>
      <c r="E144" s="592"/>
      <c r="G144" s="592"/>
      <c r="H144" s="592"/>
      <c r="I144" s="592"/>
      <c r="J144" s="287"/>
      <c r="K144" s="592"/>
      <c r="L144" s="592"/>
      <c r="M144" s="592"/>
      <c r="N144" s="223"/>
    </row>
    <row r="145" spans="2:14" x14ac:dyDescent="0.2">
      <c r="B145" s="222"/>
      <c r="C145" s="592"/>
      <c r="D145" s="592"/>
      <c r="E145" s="592"/>
      <c r="G145" s="592"/>
      <c r="H145" s="592"/>
      <c r="I145" s="592"/>
      <c r="J145" s="287"/>
      <c r="K145" s="592"/>
      <c r="L145" s="592"/>
      <c r="M145" s="592"/>
      <c r="N145" s="223"/>
    </row>
    <row r="146" spans="2:14" x14ac:dyDescent="0.2">
      <c r="B146" s="222"/>
      <c r="C146" s="592"/>
      <c r="D146" s="592"/>
      <c r="E146" s="592"/>
      <c r="G146" s="592"/>
      <c r="H146" s="592"/>
      <c r="I146" s="592"/>
      <c r="J146" s="287"/>
      <c r="K146" s="592"/>
      <c r="L146" s="592"/>
      <c r="M146" s="592"/>
      <c r="N146" s="223"/>
    </row>
    <row r="147" spans="2:14" x14ac:dyDescent="0.2">
      <c r="B147" s="222"/>
      <c r="C147" s="592"/>
      <c r="D147" s="592"/>
      <c r="E147" s="592"/>
      <c r="G147" s="592"/>
      <c r="H147" s="592"/>
      <c r="I147" s="592"/>
      <c r="J147" s="287"/>
      <c r="K147" s="592"/>
      <c r="L147" s="592"/>
      <c r="M147" s="592"/>
      <c r="N147" s="223"/>
    </row>
    <row r="148" spans="2:14" ht="137.25" customHeight="1" x14ac:dyDescent="0.2">
      <c r="B148" s="222"/>
      <c r="C148" s="592"/>
      <c r="D148" s="592"/>
      <c r="E148" s="592"/>
      <c r="G148" s="592"/>
      <c r="H148" s="592"/>
      <c r="I148" s="592"/>
      <c r="J148" s="287"/>
      <c r="K148" s="592"/>
      <c r="L148" s="592"/>
      <c r="M148" s="592"/>
      <c r="N148" s="223"/>
    </row>
    <row r="149" spans="2:14" ht="3" customHeight="1" x14ac:dyDescent="0.2">
      <c r="B149" s="222"/>
      <c r="N149" s="223"/>
    </row>
    <row r="150" spans="2:14" ht="3" customHeight="1" x14ac:dyDescent="0.2">
      <c r="B150" s="222"/>
      <c r="N150" s="223"/>
    </row>
    <row r="151" spans="2:14" ht="28.5" x14ac:dyDescent="0.45">
      <c r="B151" s="599" t="str">
        <f>Překlady!$A$21</f>
        <v>Kolor</v>
      </c>
      <c r="C151" s="600"/>
      <c r="D151" s="600"/>
      <c r="E151" s="600"/>
      <c r="F151" s="600"/>
      <c r="G151" s="600"/>
      <c r="H151" s="600"/>
      <c r="I151" s="600"/>
      <c r="J151" s="600"/>
      <c r="K151" s="600"/>
      <c r="L151" s="600"/>
      <c r="M151" s="600"/>
      <c r="N151" s="601"/>
    </row>
    <row r="152" spans="2:14" x14ac:dyDescent="0.2">
      <c r="B152" s="222"/>
      <c r="N152" s="223"/>
    </row>
    <row r="153" spans="2:14" x14ac:dyDescent="0.2">
      <c r="B153" s="222"/>
      <c r="C153" s="227" t="str">
        <f>Překlady!$A$133</f>
        <v>Aluminium (metallic-line)</v>
      </c>
      <c r="F153" s="227" t="str">
        <f>Překlady!$A$61</f>
        <v>Biały (E23)</v>
      </c>
      <c r="I153" s="227" t="str">
        <f>Překlady!$A$63</f>
        <v>Aluminowa plastik (E23)</v>
      </c>
      <c r="M153" s="227" t="str">
        <f>Překlady!$A$68</f>
        <v>Czereśnia havana (E23)</v>
      </c>
      <c r="N153" s="223"/>
    </row>
    <row r="154" spans="2:14" x14ac:dyDescent="0.2">
      <c r="B154" s="222"/>
      <c r="N154" s="223"/>
    </row>
    <row r="155" spans="2:14" x14ac:dyDescent="0.2">
      <c r="B155" s="222"/>
      <c r="N155" s="223"/>
    </row>
    <row r="156" spans="2:14" x14ac:dyDescent="0.2">
      <c r="B156" s="222"/>
      <c r="N156" s="223"/>
    </row>
    <row r="157" spans="2:14" x14ac:dyDescent="0.2">
      <c r="B157" s="222"/>
      <c r="N157" s="223"/>
    </row>
    <row r="158" spans="2:14" x14ac:dyDescent="0.2">
      <c r="B158" s="222"/>
      <c r="C158" s="227" t="str">
        <f>Překlady!$A$134</f>
        <v>Nierdz. (metallic-line)</v>
      </c>
      <c r="F158" s="227" t="str">
        <f>Překlady!$A$62</f>
        <v>Szary (E23)</v>
      </c>
      <c r="I158" s="227" t="str">
        <f>Překlady!$A$67</f>
        <v>Brzoza (E23)</v>
      </c>
      <c r="M158" s="227" t="str">
        <f>Překlady!$A$69</f>
        <v>Calvados (E23)</v>
      </c>
      <c r="N158" s="223"/>
    </row>
    <row r="159" spans="2:14" x14ac:dyDescent="0.2">
      <c r="B159" s="222"/>
      <c r="N159" s="223"/>
    </row>
    <row r="160" spans="2:14" x14ac:dyDescent="0.2">
      <c r="B160" s="222"/>
      <c r="N160" s="223"/>
    </row>
    <row r="161" spans="2:16" x14ac:dyDescent="0.2">
      <c r="B161" s="222"/>
      <c r="N161" s="223"/>
    </row>
    <row r="162" spans="2:16" x14ac:dyDescent="0.2">
      <c r="B162" s="222"/>
      <c r="N162" s="223"/>
    </row>
    <row r="163" spans="2:16" x14ac:dyDescent="0.2">
      <c r="B163" s="222"/>
      <c r="F163" s="227" t="str">
        <f>Překlady!$A$60</f>
        <v>Czarny (E23)</v>
      </c>
      <c r="I163" s="227" t="str">
        <f>Překlady!$A$66</f>
        <v>Klon (E23)</v>
      </c>
      <c r="M163" s="227" t="str">
        <f>Překlady!$A$65</f>
        <v>Czereśnia (E23)</v>
      </c>
      <c r="N163" s="223"/>
    </row>
    <row r="164" spans="2:16" x14ac:dyDescent="0.2">
      <c r="B164" s="222"/>
      <c r="N164" s="223"/>
    </row>
    <row r="165" spans="2:16" x14ac:dyDescent="0.2">
      <c r="B165" s="222"/>
      <c r="N165" s="223"/>
    </row>
    <row r="166" spans="2:16" x14ac:dyDescent="0.2">
      <c r="B166" s="222"/>
      <c r="N166" s="223"/>
    </row>
    <row r="167" spans="2:16" x14ac:dyDescent="0.2">
      <c r="B167" s="222"/>
      <c r="N167" s="223"/>
    </row>
    <row r="168" spans="2:16" x14ac:dyDescent="0.2">
      <c r="B168" s="222"/>
      <c r="I168" s="227" t="str">
        <f>Překlady!$A$64</f>
        <v>Buk (E23)</v>
      </c>
      <c r="N168" s="223"/>
    </row>
    <row r="169" spans="2:16" x14ac:dyDescent="0.2">
      <c r="B169" s="222"/>
      <c r="N169" s="223"/>
    </row>
    <row r="170" spans="2:16" x14ac:dyDescent="0.2">
      <c r="B170" s="222"/>
      <c r="N170" s="223"/>
    </row>
    <row r="171" spans="2:16" x14ac:dyDescent="0.2">
      <c r="B171" s="222"/>
      <c r="N171" s="223"/>
    </row>
    <row r="172" spans="2:16" ht="15.75" customHeight="1" x14ac:dyDescent="0.2">
      <c r="B172" s="228" t="str">
        <f>'Objednávka žaluzií'!$C$69</f>
        <v>Pion.25.01</v>
      </c>
      <c r="G172" s="225"/>
      <c r="H172" s="225"/>
      <c r="I172" s="225"/>
      <c r="J172" s="225"/>
      <c r="K172" s="225"/>
      <c r="L172" s="609" t="str">
        <f>Překlady!$A$102</f>
        <v>Wzorniki kolorów są jedynie orientacyjne</v>
      </c>
      <c r="M172" s="609"/>
      <c r="N172" s="610"/>
      <c r="O172" s="226"/>
      <c r="P172" s="226"/>
    </row>
    <row r="173" spans="2:16" ht="26.25" customHeight="1" x14ac:dyDescent="0.2">
      <c r="B173" s="605" t="str">
        <f>Překlady!$A$103</f>
        <v>Instrukcje montażu są dostępne na naszym portalu www.demos24plus.com</v>
      </c>
      <c r="C173" s="606"/>
      <c r="D173" s="606"/>
      <c r="E173" s="606"/>
      <c r="F173" s="606"/>
      <c r="G173" s="606"/>
      <c r="H173" s="606"/>
      <c r="I173" s="606"/>
      <c r="J173" s="606"/>
      <c r="K173" s="606"/>
      <c r="L173" s="607" t="s">
        <v>1532</v>
      </c>
      <c r="M173" s="607"/>
      <c r="N173" s="608"/>
    </row>
  </sheetData>
  <sheetProtection algorithmName="SHA-512" hashValue="SnOIOJvD5alX1u2j7uRfhojZ68grAQm7ZGx1xy2+Gx3j7ZSU6NzvimoGGq4zkJdgY4e02AlXMn58UfjYXTncjQ==" saltValue="G0e98Nqml1k/v9+gLeAtkA==" spinCount="100000" sheet="1" selectLockedCells="1" selectUnlockedCells="1"/>
  <mergeCells count="31">
    <mergeCell ref="D40:F40"/>
    <mergeCell ref="I40:K40"/>
    <mergeCell ref="G9:I9"/>
    <mergeCell ref="B2:N2"/>
    <mergeCell ref="C4:E4"/>
    <mergeCell ref="K4:M4"/>
    <mergeCell ref="G4:I4"/>
    <mergeCell ref="G12:I12"/>
    <mergeCell ref="K12:N12"/>
    <mergeCell ref="B173:K173"/>
    <mergeCell ref="L173:N173"/>
    <mergeCell ref="L172:N172"/>
    <mergeCell ref="G124:I124"/>
    <mergeCell ref="K124:M124"/>
    <mergeCell ref="B151:N151"/>
    <mergeCell ref="C124:F124"/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topLeftCell="V444" zoomScale="85" zoomScaleNormal="85" workbookViewId="0">
      <selection activeCell="AH468" sqref="AH468"/>
    </sheetView>
  </sheetViews>
  <sheetFormatPr defaultRowHeight="12.75" x14ac:dyDescent="0.2"/>
  <cols>
    <col min="1" max="1" width="14.140625" customWidth="1"/>
    <col min="2" max="2" width="12.28515625" customWidth="1"/>
    <col min="3" max="3" width="11.5703125" bestFit="1" customWidth="1"/>
    <col min="4" max="4" width="11.7109375" customWidth="1"/>
    <col min="5" max="5" width="9.85546875" customWidth="1"/>
    <col min="6" max="6" width="10.85546875" customWidth="1"/>
    <col min="8" max="8" width="8.42578125" customWidth="1"/>
    <col min="9" max="9" width="10.7109375" customWidth="1"/>
    <col min="10" max="10" width="6.85546875" customWidth="1"/>
    <col min="11" max="11" width="9.85546875" customWidth="1"/>
    <col min="12" max="12" width="8.28515625" customWidth="1"/>
    <col min="18" max="18" width="24.140625" customWidth="1"/>
    <col min="23" max="23" width="36" bestFit="1" customWidth="1"/>
    <col min="24" max="25" width="18.7109375" bestFit="1" customWidth="1"/>
    <col min="26" max="26" width="17.7109375" bestFit="1" customWidth="1"/>
    <col min="27" max="27" width="34.7109375" style="41" customWidth="1"/>
    <col min="28" max="28" width="35.42578125" style="41" bestFit="1" customWidth="1"/>
    <col min="29" max="29" width="9.140625" style="41" customWidth="1"/>
    <col min="30" max="30" width="18.42578125" bestFit="1" customWidth="1"/>
    <col min="31" max="31" width="26.28515625" style="41" customWidth="1"/>
    <col min="32" max="32" width="33.42578125" bestFit="1" customWidth="1"/>
    <col min="33" max="33" width="24.140625" bestFit="1" customWidth="1"/>
    <col min="34" max="34" width="23.7109375" bestFit="1" customWidth="1"/>
    <col min="35" max="35" width="38.140625" bestFit="1" customWidth="1"/>
    <col min="36" max="36" width="39.28515625" bestFit="1" customWidth="1"/>
    <col min="37" max="37" width="18.85546875" bestFit="1" customWidth="1"/>
    <col min="41" max="41" width="32.28515625" customWidth="1"/>
    <col min="43" max="43" width="9.42578125" customWidth="1"/>
    <col min="44" max="44" width="11.28515625" bestFit="1" customWidth="1"/>
    <col min="52" max="52" width="49.140625" customWidth="1"/>
    <col min="53" max="53" width="18.7109375" bestFit="1" customWidth="1"/>
    <col min="55" max="55" width="25.5703125" customWidth="1"/>
    <col min="56" max="56" width="30.140625" customWidth="1"/>
  </cols>
  <sheetData>
    <row r="1" spans="1:54" ht="21" thickBot="1" x14ac:dyDescent="0.35">
      <c r="V1" s="1" t="s">
        <v>97</v>
      </c>
      <c r="Y1">
        <f>VLOOKUP(AA3,$Z$246:$AJ$508,(5+$AE$1),0)</f>
        <v>105.1413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3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5" thickBot="1" x14ac:dyDescent="0.25">
      <c r="Y2" s="322" t="s">
        <v>1933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 - wpuszczany do przykręcenia plastikowy</v>
      </c>
      <c r="AG2" s="193" t="str">
        <f>$R$4</f>
        <v>Classic - wpuszczany do zafrezowania</v>
      </c>
      <c r="AH2" s="193" t="str">
        <f>$R$5</f>
        <v>Frame - nakładany z listwą maskującą</v>
      </c>
      <c r="AI2" s="193" t="str">
        <f>$R$6</f>
        <v>TOP - wpuszczany do przykręcenia metalowy z listwą maskującą</v>
      </c>
      <c r="AJ2" s="193" t="str">
        <f>$R$7</f>
        <v>Nakładany z prowadzeniem metalic-line 29 mm i mechanimem C3</v>
      </c>
      <c r="AK2" s="193"/>
      <c r="AL2" s="186"/>
      <c r="AM2" s="186"/>
      <c r="AU2" s="24"/>
    </row>
    <row r="3" spans="1:54" ht="13.5" thickBot="1" x14ac:dyDescent="0.25">
      <c r="Q3">
        <v>1</v>
      </c>
      <c r="R3" s="353" t="str">
        <f>Překlady!A36</f>
        <v>TOP Basic - wpuszczany do przykręcenia plastikowy</v>
      </c>
      <c r="S3" s="252" t="s">
        <v>2133</v>
      </c>
      <c r="T3" s="253">
        <v>3</v>
      </c>
      <c r="U3" s="318" t="s">
        <v>1930</v>
      </c>
      <c r="V3" s="252">
        <v>1</v>
      </c>
      <c r="W3" s="252" t="str">
        <f>Překlady!A60</f>
        <v>Czarny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Adapter przedłużający do mech.C3</v>
      </c>
      <c r="AC3" s="91">
        <f>$AB$1*AD3</f>
        <v>105.1413</v>
      </c>
      <c r="AD3" s="91">
        <f>VLOOKUP(AA3,$Z$246:$AJ$508,(5+$AE$1),0)</f>
        <v>105.1413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3.5" thickBot="1" x14ac:dyDescent="0.25">
      <c r="Q4">
        <v>2</v>
      </c>
      <c r="R4" s="255" t="str">
        <f>Překlady!A37</f>
        <v>Classic - wpuszczany do zafrezowania</v>
      </c>
      <c r="S4" s="205" t="s">
        <v>2134</v>
      </c>
      <c r="T4" s="205" t="str">
        <f>VLOOKUP(VEDENI,Q3:S7,3,FALSE)</f>
        <v>C</v>
      </c>
      <c r="U4" s="205"/>
      <c r="V4" s="205">
        <v>2</v>
      </c>
      <c r="W4" s="205" t="str">
        <f>Překlady!A61</f>
        <v>Biały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7" t="s">
        <v>358</v>
      </c>
      <c r="AP4" s="618"/>
      <c r="AQ4" s="44" t="s">
        <v>357</v>
      </c>
      <c r="AR4" s="43" t="s">
        <v>360</v>
      </c>
      <c r="AS4" s="44" t="s">
        <v>359</v>
      </c>
      <c r="AT4" s="417" t="s">
        <v>361</v>
      </c>
      <c r="AU4" s="385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25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>Frame - nakładany z listwą maskującą</v>
      </c>
      <c r="S5" s="205" t="s">
        <v>2135</v>
      </c>
      <c r="T5" s="205"/>
      <c r="U5" s="205"/>
      <c r="V5" s="205">
        <v>3</v>
      </c>
      <c r="W5" s="205" t="str">
        <f>Překlady!A62</f>
        <v>Szary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Uchwyt mechan. C3-metal.</v>
      </c>
      <c r="AC5" s="91">
        <f>$AB$1*AD5</f>
        <v>14.691560000000001</v>
      </c>
      <c r="AD5" s="91">
        <f>VLOOKUP(AA5,$Z$246:$AJ$508,(5+$AE$1),0)</f>
        <v>14.691560000000001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Roletowy profil E23 czarny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19.28388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Roletowy profil E23 czarny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19.28388</v>
      </c>
    </row>
    <row r="6" spans="1:54" ht="12.75" customHeight="1" thickBot="1" x14ac:dyDescent="0.2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wpuszczany do przykręcenia metalowy z listwą maskującą</v>
      </c>
      <c r="S6" s="205" t="s">
        <v>1926</v>
      </c>
      <c r="T6" s="205"/>
      <c r="U6" s="205"/>
      <c r="V6" s="205">
        <v>4</v>
      </c>
      <c r="W6" s="205" t="str">
        <f>Překlady!A63</f>
        <v>Aluminowa plastik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Ślizgacz do listwy koń. ALU 27mm czar.</v>
      </c>
      <c r="AC6" s="91">
        <f>$AB$1*AD6</f>
        <v>6.5917000000000003</v>
      </c>
      <c r="AD6" s="91">
        <f>VLOOKUP(AA6,$Z$246:$AJ$508,(5+$AE$1),0)</f>
        <v>6.5917000000000003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Roletowy profil Matal-line 20mm nierdz 3</v>
      </c>
      <c r="BA6" s="27">
        <f>IF(BARVA=9,výpočty!AC120,
IF(BARVA=10,výpočty!AC115,
IF(BARVA=12,AC205,
IF(BARVA=13,AC201,
IF(BARVA=15,výpočty!AC91,
IF(BARVA=16,výpočty!AC92,výpočty!AC92))))))</f>
        <v>20.679410000000001</v>
      </c>
    </row>
    <row r="7" spans="1:54" ht="12.75" customHeight="1" thickBot="1" x14ac:dyDescent="0.2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>Nakładany z prowadzeniem metalic-line 29 mm i mechanimem C3</v>
      </c>
      <c r="S7" s="205" t="s">
        <v>2132</v>
      </c>
      <c r="T7" s="205"/>
      <c r="U7" s="205"/>
      <c r="V7" s="205">
        <v>5</v>
      </c>
      <c r="W7" s="205" t="str">
        <f>Překlady!A64</f>
        <v>Buk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Ślizgacz do listwy koń. ALU Kombi szara</v>
      </c>
      <c r="AC7" s="91">
        <f>$AB$1*AD7</f>
        <v>9.7358899999999995</v>
      </c>
      <c r="AD7" s="91">
        <f>VLOOKUP(AA7,$Z$246:$AJ$508,(5+$AE$1),0)</f>
        <v>9.7358899999999995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2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Czereśnia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2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Do tyłu</v>
      </c>
      <c r="S9" s="205" t="s">
        <v>2136</v>
      </c>
      <c r="T9" s="253">
        <v>1</v>
      </c>
      <c r="U9" s="318" t="s">
        <v>1931</v>
      </c>
      <c r="V9" s="205">
        <v>7</v>
      </c>
      <c r="W9" s="205" t="str">
        <f>Překlady!A66</f>
        <v>Klon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2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Do ślimaka roletowego</v>
      </c>
      <c r="S10" s="205" t="s">
        <v>2137</v>
      </c>
      <c r="T10" s="205" t="str">
        <f>VLOOKUP(T9,Q9:S11,3,FALSE)</f>
        <v>X</v>
      </c>
      <c r="U10" s="205"/>
      <c r="V10" s="205">
        <v>8</v>
      </c>
      <c r="W10" s="205" t="str">
        <f>Překlady!A67</f>
        <v>Brzoza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Ślizgacz do R95817 jas.szary</v>
      </c>
      <c r="AC10" s="91">
        <f t="shared" si="2"/>
        <v>13.00919</v>
      </c>
      <c r="AD10" s="91">
        <f t="shared" si="3"/>
        <v>13.00919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7" t="s">
        <v>358</v>
      </c>
      <c r="AP10" s="618"/>
      <c r="AQ10" s="44" t="s">
        <v>357</v>
      </c>
      <c r="AR10" s="43" t="s">
        <v>360</v>
      </c>
      <c r="AS10" s="44" t="s">
        <v>359</v>
      </c>
      <c r="AT10" s="417" t="s">
        <v>361</v>
      </c>
      <c r="AU10" s="385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2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Z mecjanizmem C3</v>
      </c>
      <c r="S11" s="205" t="s">
        <v>2138</v>
      </c>
      <c r="T11" s="205"/>
      <c r="U11" s="205"/>
      <c r="V11" s="205">
        <v>9</v>
      </c>
      <c r="W11" s="205" t="str">
        <f>Překlady!A68</f>
        <v>Czereśnia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Ślizgacz do R95817 czarny</v>
      </c>
      <c r="AC11" s="91">
        <f t="shared" si="2"/>
        <v>13.00919</v>
      </c>
      <c r="AD11" s="91">
        <f t="shared" si="3"/>
        <v>13.00919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Listwa końcowa czarna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69.139859999999999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Listwa końcowa czarna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69.139859999999999</v>
      </c>
    </row>
    <row r="12" spans="1:54" ht="12.75" customHeight="1" thickBot="1" x14ac:dyDescent="0.2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Ślizgacz Metallic-line 20mm nierdz czarn</v>
      </c>
      <c r="AC12" s="91">
        <f t="shared" si="2"/>
        <v>0.60260999999999998</v>
      </c>
      <c r="AD12" s="91">
        <f t="shared" si="3"/>
        <v>0.60260999999999998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Listwa końcowa ALU Kombi nierdz 360L</v>
      </c>
      <c r="BA12" s="27">
        <f>IF(BARVA=9,výpočty!AC36,
IF(BARVA=10,výpočty!AC29,
IF(BARVA=12,AC207,
IF(BARVA=15,výpočty!AC23,výpočty!AC25))))</f>
        <v>224.55905000000001</v>
      </c>
    </row>
    <row r="13" spans="1:54" ht="12.75" customHeight="1" thickBot="1" x14ac:dyDescent="0.2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Listwa końcowa z uskokiem ALU dolna częś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178.88355999999999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Osłona lis.koń.z uskokiem czarna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26.355560000000001</v>
      </c>
      <c r="BB13" s="110"/>
    </row>
    <row r="14" spans="1:54" ht="12.75" customHeight="1" thickBot="1" x14ac:dyDescent="0.2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Pionowy (z góry na dół)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śnieżno biala mat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Ślizgacz do śr.list.uchw. Czarny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Osłona lis.koń.z uskokiem czarna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26.355560000000001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nie można</v>
      </c>
      <c r="BA14" s="113">
        <f>IF(BARVA=9,,IF(BARVA=10,0,IF(BARVA=11,0,0)))</f>
        <v>0</v>
      </c>
      <c r="BB14" s="110"/>
    </row>
    <row r="15" spans="1:54" ht="12.75" customHeight="1" thickBot="1" x14ac:dyDescent="0.2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Poziomy (z lewej strony na prawą)</v>
      </c>
      <c r="S15" s="205" t="s">
        <v>2139</v>
      </c>
      <c r="T15" s="205" t="str">
        <f>VLOOKUP(U14,Q14:S15,3,FALSE)</f>
        <v>V</v>
      </c>
      <c r="U15" s="320" t="s">
        <v>1932</v>
      </c>
      <c r="V15" s="205">
        <v>13</v>
      </c>
      <c r="W15" t="str">
        <f>Překlady!$A$140</f>
        <v>Aluminowa plastik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Ślizgacz 8mm z ham.jas.brąz (buk)</v>
      </c>
      <c r="AC15" s="91">
        <f t="shared" si="2"/>
        <v>18.350619999999999</v>
      </c>
      <c r="AD15" s="91">
        <f t="shared" si="3"/>
        <v>18.350619999999999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Ślizgacz do R95817 czarny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13.00919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Ślizgacz do R95817 czarny</v>
      </c>
      <c r="BA15" s="115">
        <f>IF(BARVA&lt;3,výpočty!AC11,
IF(BARVA&lt;9,výpočty!AC10,
IF(BARVA=15,výpočty!AC10,výpočty!AC10)))</f>
        <v>13.00919</v>
      </c>
      <c r="BB15" s="110"/>
    </row>
    <row r="16" spans="1:54" ht="12.75" customHeight="1" thickBot="1" x14ac:dyDescent="0.2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Ślizgacz 8 mm z hamulcem biały</v>
      </c>
      <c r="AC16" s="91">
        <f t="shared" si="2"/>
        <v>18.350619999999999</v>
      </c>
      <c r="AD16" s="91">
        <f t="shared" si="3"/>
        <v>18.350619999999999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Ślizgacz 8mm z hamulcem czarny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18.350619999999999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Ślizgacz 8 mm czarny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8.5023300000000006</v>
      </c>
    </row>
    <row r="17" spans="1:57" ht="12.75" customHeight="1" thickBot="1" x14ac:dyDescent="0.3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Ślizgacz 8mm z hamulcem czarny</v>
      </c>
      <c r="AC17" s="91">
        <f t="shared" si="2"/>
        <v>18.350619999999999</v>
      </c>
      <c r="AD17" s="91">
        <f t="shared" si="3"/>
        <v>18.350619999999999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Ślizgacz do listwy koń. ALU Kombi szara</v>
      </c>
      <c r="BA17" s="27">
        <f>IF(BARVA=9,výpočty!AC21,
IF(BARVA=10,výpočty!AC21,
IF(BARVA=11," ",IF(BARVA=15,výpočty!AC7,výpočty!AC7))))</f>
        <v>9.7358899999999995</v>
      </c>
    </row>
    <row r="18" spans="1:57" ht="12.75" customHeight="1" x14ac:dyDescent="0.2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Ślizgacz 8mm z hamulcem szary</v>
      </c>
      <c r="AC18" s="91">
        <f t="shared" si="2"/>
        <v>18.350619999999999</v>
      </c>
      <c r="AD18" s="91">
        <f t="shared" si="3"/>
        <v>18.350619999999999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Ślizgacz 8mm z hamulcem czarny</v>
      </c>
      <c r="BA18">
        <f>IF(NAVIJENI=3,BA16,BD18)</f>
        <v>18.350619999999999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Ślizgacz 8mm z hamulcem czarny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18.350619999999999</v>
      </c>
    </row>
    <row r="19" spans="1:57" ht="13.5" thickBot="1" x14ac:dyDescent="0.2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Aluminium szerokość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Ślizgacz 8 mm biały</v>
      </c>
      <c r="AC19" s="91">
        <f t="shared" si="2"/>
        <v>8.5023300000000006</v>
      </c>
      <c r="AD19" s="91">
        <f t="shared" si="3"/>
        <v>8.5023300000000006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Ślizgacz do listwy koń. ALU Kombi szara</v>
      </c>
      <c r="BA19">
        <f>IF(NAVIJENI=3,BA17,IF(BARVA=9,výpočty!AC15,IF(BARVA=10,výpočty!AC15,IF(BARVA=11," ",IF(BARVA=15,výpočty!AC7,výpočty!AC7)))))</f>
        <v>9.7358899999999995</v>
      </c>
    </row>
    <row r="20" spans="1:57" ht="13.5" thickBot="1" x14ac:dyDescent="0.2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Nierdz. szerokość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Ślizgacz 8 mm czarny</v>
      </c>
      <c r="AC20" s="91">
        <f t="shared" si="2"/>
        <v>8.5023300000000006</v>
      </c>
      <c r="AD20" s="91">
        <f t="shared" si="3"/>
        <v>8.5023300000000006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3.5" thickBot="1" x14ac:dyDescent="0.2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Ślizgacz 8 mm jas.brąz.(buk)</v>
      </c>
      <c r="AC21" s="91">
        <f t="shared" si="2"/>
        <v>8.5023300000000006</v>
      </c>
      <c r="AD21" s="91">
        <f t="shared" si="3"/>
        <v>8.5023300000000006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7" t="s">
        <v>358</v>
      </c>
      <c r="AP21" s="618"/>
      <c r="AQ21" s="44" t="s">
        <v>357</v>
      </c>
      <c r="AR21" s="43" t="s">
        <v>360</v>
      </c>
      <c r="AS21" s="44" t="s">
        <v>359</v>
      </c>
      <c r="AT21" s="417" t="s">
        <v>361</v>
      </c>
      <c r="AU21" s="385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2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Czarny (E23)</v>
      </c>
      <c r="T22" s="205"/>
      <c r="U22" s="205"/>
      <c r="V22" s="205"/>
      <c r="W22" s="205" t="str">
        <f>Překlady!A87</f>
        <v>Tak</v>
      </c>
      <c r="X22" s="323">
        <v>1</v>
      </c>
      <c r="Y22" s="318" t="s">
        <v>1934</v>
      </c>
      <c r="Z22">
        <v>25.5</v>
      </c>
      <c r="AA22" s="90" t="s">
        <v>459</v>
      </c>
      <c r="AB22" s="179" t="str">
        <f t="shared" si="1"/>
        <v>Ślizgacz 8 mm szary</v>
      </c>
      <c r="AC22" s="91">
        <f t="shared" si="2"/>
        <v>8.5023300000000006</v>
      </c>
      <c r="AD22" s="91">
        <f t="shared" si="3"/>
        <v>8.5023300000000006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Listwa maskująca uni czarna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45.669879999999999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Listwa maskująca uni czarna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45.669879999999999</v>
      </c>
    </row>
    <row r="23" spans="1:57" ht="13.5" thickBot="1" x14ac:dyDescent="0.2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Nie</v>
      </c>
      <c r="X23" s="261"/>
      <c r="Y23" s="354"/>
      <c r="Z23">
        <v>665</v>
      </c>
      <c r="AA23" s="90" t="s">
        <v>460</v>
      </c>
      <c r="AB23" s="179" t="str">
        <f t="shared" si="1"/>
        <v>Listwa końcowa ALU kombi ALU 230L</v>
      </c>
      <c r="AC23" s="91">
        <f t="shared" si="2"/>
        <v>165.55967000000001</v>
      </c>
      <c r="AD23" s="91">
        <f t="shared" si="3"/>
        <v>165.55967000000001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Listwa maskująca (profil L) nierdz 360</v>
      </c>
      <c r="BA23" s="27">
        <f>IF(BARVA=9,výpočty!AC51,IF(BARVA=10,výpočty!AC45,IF(BARVA=11," ",IF(BARVA=15,výpočty!AC40,výpočty!AC232))))</f>
        <v>156.99848</v>
      </c>
    </row>
    <row r="24" spans="1:57" x14ac:dyDescent="0.2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Listwa końcowa ALU 27mm ALU 230L</v>
      </c>
      <c r="AC24" s="91">
        <f t="shared" si="2"/>
        <v>151.92384000000001</v>
      </c>
      <c r="AD24" s="91">
        <f t="shared" si="3"/>
        <v>151.92384000000001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Listwa maskująca z uskokiem ALU-dolna cz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98.007369999999995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Osłona listwy mask. z uskokiem-uni czarn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27.027149999999999</v>
      </c>
      <c r="BB24" s="110"/>
    </row>
    <row r="25" spans="1:57" ht="13.5" thickBot="1" x14ac:dyDescent="0.25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Listwa końcowa ALU Kombi nierdz 360L</v>
      </c>
      <c r="AC25" s="91">
        <f t="shared" si="2"/>
        <v>224.55905000000001</v>
      </c>
      <c r="AD25" s="91">
        <f t="shared" si="3"/>
        <v>224.55905000000001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Osłona listwy mask. z uskokiem-uni czarn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27.027149999999999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5" thickBot="1" x14ac:dyDescent="0.25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Listwa końcowa biała</v>
      </c>
      <c r="AC26" s="91">
        <f t="shared" si="2"/>
        <v>69.139859999999999</v>
      </c>
      <c r="AD26" s="91">
        <f t="shared" si="3"/>
        <v>69.139859999999999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5" thickBot="1" x14ac:dyDescent="0.25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Listwa końcowa brzoza</v>
      </c>
      <c r="AC27" s="91">
        <f t="shared" si="2"/>
        <v>80.561509999999998</v>
      </c>
      <c r="AD27" s="91">
        <f t="shared" si="3"/>
        <v>80.561509999999998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5" thickBot="1" x14ac:dyDescent="0.25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Listwa końcowa buk</v>
      </c>
      <c r="AC28" s="91">
        <f t="shared" si="2"/>
        <v>80.561509999999998</v>
      </c>
      <c r="AD28" s="91">
        <f t="shared" si="3"/>
        <v>80.561509999999998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5" thickBot="1" x14ac:dyDescent="0.25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Listwa końcowa calvados</v>
      </c>
      <c r="AC29" s="91">
        <f t="shared" si="2"/>
        <v>63.75076</v>
      </c>
      <c r="AD29" s="91">
        <f t="shared" si="3"/>
        <v>63.75076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7" t="s">
        <v>358</v>
      </c>
      <c r="AP29" s="618"/>
      <c r="AQ29" s="44" t="s">
        <v>357</v>
      </c>
      <c r="AR29" s="43" t="s">
        <v>360</v>
      </c>
      <c r="AS29" s="44" t="s">
        <v>359</v>
      </c>
      <c r="AT29" s="417" t="s">
        <v>361</v>
      </c>
      <c r="AU29" s="385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5" thickBot="1" x14ac:dyDescent="0.25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Listwa końcowa czarna</v>
      </c>
      <c r="AC30" s="91">
        <f t="shared" si="2"/>
        <v>69.139859999999999</v>
      </c>
      <c r="AD30" s="91">
        <f t="shared" si="3"/>
        <v>69.139859999999999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Listwa tor. na wkręt czarna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20.510159999999999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Listwa tor. na wkręt czarna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20.510159999999999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Narożnik lis.tor.na wkr. czarny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5.8428699999999996</v>
      </c>
    </row>
    <row r="31" spans="1:57" ht="18.75" thickBot="1" x14ac:dyDescent="0.3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Listwa końcowa alum.(plast)</v>
      </c>
      <c r="AC31" s="91">
        <f t="shared" si="2"/>
        <v>80.561509999999998</v>
      </c>
      <c r="AD31" s="91">
        <f t="shared" si="3"/>
        <v>80.561509999999998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Narożnik lis.tor.na wkr. czarny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5.8428699999999996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Listwa tor. na wkręt ciem. szara(al.)</v>
      </c>
      <c r="BA31" s="117">
        <f>IF(BARVA=9,výpočty!AC167,
IF(BARVA=10,výpočty!AC165,
IF(BARVA=12,AC159,
IF(BARVA=15,výpočty!AC170,výpočty!AC157))))</f>
        <v>20.510159999999999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Narożnik lis.tor.na wkr. jas.szary (al.)</v>
      </c>
      <c r="BE31" s="119">
        <f>IF(BARVA=9,výpočty!AC128,IF(BARVA=10,výpočty!AC131,IF(BARVA=11," ",IF(BARVA=15,výpočty!AC133,výpočty!AC122))))</f>
        <v>5.8428699999999996</v>
      </c>
    </row>
    <row r="32" spans="1:57" ht="13.5" thickBot="1" x14ac:dyDescent="0.25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Listwa końcowa jawor</v>
      </c>
      <c r="AC32" s="91">
        <f t="shared" si="2"/>
        <v>80.561509999999998</v>
      </c>
      <c r="AD32" s="91">
        <f t="shared" si="3"/>
        <v>80.561509999999998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Listwa tor. na wkręt czarna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20.510159999999999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5" thickBot="1" x14ac:dyDescent="0.25">
      <c r="A33" s="67" t="s">
        <v>26</v>
      </c>
      <c r="B33" s="70">
        <f t="shared" ref="B33:F35" si="5">B57*$F$31</f>
        <v>21.09207</v>
      </c>
      <c r="C33" s="71">
        <f t="shared" si="5"/>
        <v>52.730175000000003</v>
      </c>
      <c r="D33" s="71">
        <f t="shared" si="5"/>
        <v>80.561509999999998</v>
      </c>
      <c r="E33" s="71">
        <f t="shared" si="5"/>
        <v>8.5023300000000006</v>
      </c>
      <c r="F33" s="71">
        <f t="shared" si="5"/>
        <v>0.60260999999999998</v>
      </c>
      <c r="G33" s="71">
        <f>G57*$F$31</f>
        <v>61.848480000000002</v>
      </c>
      <c r="H33" s="72"/>
      <c r="I33" s="72" t="s">
        <v>33</v>
      </c>
      <c r="J33" s="70">
        <f t="shared" ref="J33:J38" si="6">J57*$F$31</f>
        <v>20.510159999999999</v>
      </c>
      <c r="K33" s="72"/>
      <c r="L33" s="71">
        <f t="shared" ref="L33:L39" si="7">L57*$F$31</f>
        <v>51.275399999999998</v>
      </c>
      <c r="M33" s="72"/>
      <c r="N33" s="71">
        <f>N57*$F$31</f>
        <v>5.8428699999999996</v>
      </c>
      <c r="O33" s="69"/>
      <c r="R33" s="135" t="s">
        <v>396</v>
      </c>
      <c r="S33" s="23"/>
      <c r="Z33">
        <v>655</v>
      </c>
      <c r="AA33" s="90" t="s">
        <v>470</v>
      </c>
      <c r="AB33" s="179" t="str">
        <f t="shared" si="1"/>
        <v>Listwa koń.z uskokiem ALU 230L</v>
      </c>
      <c r="AC33" s="91" t="e">
        <f t="shared" si="2"/>
        <v>#N/A</v>
      </c>
      <c r="AD33" s="91" t="e">
        <f t="shared" si="3"/>
        <v>#N/A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Ślimak rolety 8mm, dł.zwoju 670mm czar.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30.603929999999998</v>
      </c>
      <c r="AV33" s="50">
        <f>AT33*AR33</f>
        <v>0</v>
      </c>
    </row>
    <row r="34" spans="1:56" ht="13.5" thickBot="1" x14ac:dyDescent="0.25">
      <c r="A34" s="67" t="s">
        <v>27</v>
      </c>
      <c r="B34" s="70">
        <f t="shared" si="5"/>
        <v>19.28388</v>
      </c>
      <c r="C34" s="71">
        <f t="shared" si="5"/>
        <v>48.209699999999998</v>
      </c>
      <c r="D34" s="71">
        <f t="shared" si="5"/>
        <v>69.139859999999999</v>
      </c>
      <c r="E34" s="71">
        <f t="shared" si="5"/>
        <v>18.350619999999999</v>
      </c>
      <c r="F34" s="70"/>
      <c r="G34" s="71">
        <f>G58*$F$31</f>
        <v>45.669879999999999</v>
      </c>
      <c r="H34" s="72"/>
      <c r="I34" s="72" t="s">
        <v>13</v>
      </c>
      <c r="J34" s="70">
        <f t="shared" si="6"/>
        <v>9.7397399999999994</v>
      </c>
      <c r="K34" s="72"/>
      <c r="L34" s="71">
        <f t="shared" si="7"/>
        <v>24.349349999999998</v>
      </c>
      <c r="M34" s="72"/>
      <c r="N34" s="71">
        <f>N58*$F$31</f>
        <v>5.2317799999999997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Listwa końcowa z uskokiem ALU dolna częś</v>
      </c>
      <c r="AC34" s="91">
        <f t="shared" si="2"/>
        <v>178.88355999999999</v>
      </c>
      <c r="AD34" s="91">
        <f t="shared" si="3"/>
        <v>178.88355999999999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Ślimak rolety 8mm, dł.zwoju 670mm czar.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30.603929999999998</v>
      </c>
      <c r="AV34" s="120">
        <f>AT34*AR33</f>
        <v>0</v>
      </c>
    </row>
    <row r="35" spans="1:56" ht="13.5" thickBot="1" x14ac:dyDescent="0.25">
      <c r="A35" s="67" t="s">
        <v>30</v>
      </c>
      <c r="B35" s="70">
        <f t="shared" si="5"/>
        <v>19.759789999999999</v>
      </c>
      <c r="C35" s="71">
        <f t="shared" si="5"/>
        <v>49.399474999999995</v>
      </c>
      <c r="D35" s="71">
        <f t="shared" si="5"/>
        <v>165.55967000000001</v>
      </c>
      <c r="E35" s="71">
        <f t="shared" si="5"/>
        <v>9.7358899999999995</v>
      </c>
      <c r="F35" s="70"/>
      <c r="G35" s="71">
        <f>G59*$F$31</f>
        <v>114.81813</v>
      </c>
      <c r="H35" s="72"/>
      <c r="I35" s="72" t="s">
        <v>38</v>
      </c>
      <c r="J35" s="70">
        <f t="shared" si="6"/>
        <v>0</v>
      </c>
      <c r="K35" s="70">
        <f>K59*$F$31</f>
        <v>24.326920000000001</v>
      </c>
      <c r="L35" s="71">
        <f t="shared" si="7"/>
        <v>60.817300000000003</v>
      </c>
      <c r="M35" s="72"/>
      <c r="N35" s="71">
        <f>N59*$F$31</f>
        <v>6.6591399999999998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Listwa końcowa szara</v>
      </c>
      <c r="AC35" s="91">
        <f t="shared" si="2"/>
        <v>69.139859999999999</v>
      </c>
      <c r="AD35" s="91">
        <f t="shared" si="3"/>
        <v>69.139859999999999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Ślimak rolety 8mm, dł.zwoju 670mm czar.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30.603929999999998</v>
      </c>
      <c r="AV35">
        <f>IF(SMER=1,AV33,AV34)</f>
        <v>0</v>
      </c>
    </row>
    <row r="36" spans="1:56" ht="13.5" thickBot="1" x14ac:dyDescent="0.25">
      <c r="A36" s="67" t="s">
        <v>31</v>
      </c>
      <c r="B36" s="70">
        <f>B60*$F$31</f>
        <v>20.679410000000001</v>
      </c>
      <c r="C36" s="71">
        <f>C60*$F$31</f>
        <v>51.698525000000004</v>
      </c>
      <c r="D36" s="71">
        <f>D60*$F$31</f>
        <v>224.55905000000001</v>
      </c>
      <c r="E36" s="71">
        <f>E60*$F$31</f>
        <v>9.7358899999999995</v>
      </c>
      <c r="F36" s="70"/>
      <c r="G36" s="71">
        <f>G60*$F$31</f>
        <v>255.91313</v>
      </c>
      <c r="H36" s="72"/>
      <c r="I36" s="72" t="s">
        <v>39</v>
      </c>
      <c r="J36" s="70">
        <f t="shared" si="6"/>
        <v>0</v>
      </c>
      <c r="K36" s="70">
        <f>K60*$F$31</f>
        <v>18.595009999999998</v>
      </c>
      <c r="L36" s="71">
        <f t="shared" si="7"/>
        <v>46.487524999999998</v>
      </c>
      <c r="M36" s="70"/>
      <c r="N36" s="71">
        <f>N60*$F$31</f>
        <v>6.6591399999999998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Listwa końcowa czereśnia Havana</v>
      </c>
      <c r="AC36" s="91">
        <f t="shared" si="2"/>
        <v>63.75076</v>
      </c>
      <c r="AD36" s="91">
        <f t="shared" si="3"/>
        <v>63.75076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nie można zastosować mech.rolet. C3</v>
      </c>
      <c r="AQ36" t="str">
        <f>AO36</f>
        <v>nie można zastosować mech.rolet. C3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5" thickBot="1" x14ac:dyDescent="0.25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52.337490000000003</v>
      </c>
      <c r="L37" s="71">
        <f t="shared" si="7"/>
        <v>130.84372500000001</v>
      </c>
      <c r="M37" s="70"/>
      <c r="N37" s="71">
        <f>N61*$F$31</f>
        <v>6.6591399999999998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Listwa końcowa czereśnia</v>
      </c>
      <c r="AC37" s="91">
        <f t="shared" si="2"/>
        <v>80.561509999999998</v>
      </c>
      <c r="AD37" s="91">
        <f t="shared" si="3"/>
        <v>80.561509999999998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5" thickBot="1" x14ac:dyDescent="0.25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91.980369999999994</v>
      </c>
      <c r="L38" s="71">
        <f t="shared" si="7"/>
        <v>229.95092499999998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5" thickBot="1" x14ac:dyDescent="0.25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65.652900000000002</v>
      </c>
      <c r="K39" s="74" t="s">
        <v>124</v>
      </c>
      <c r="L39" s="71">
        <f t="shared" si="7"/>
        <v>65.652900000000002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Osłona listwy mask. z uskokiem ALU  230L</v>
      </c>
      <c r="AC39" s="91">
        <f t="shared" ref="AC39:AC61" si="10">$AB$1*AD39</f>
        <v>185.37687</v>
      </c>
      <c r="AD39" s="91">
        <f t="shared" ref="AD39:AD61" si="11">VLOOKUP(AA39,$Z$246:$AJ$508,(5+$AE$1),0)</f>
        <v>185.37687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5" thickBot="1" x14ac:dyDescent="0.25">
      <c r="A40" s="67" t="s">
        <v>15</v>
      </c>
      <c r="B40" s="72"/>
      <c r="C40" s="73"/>
      <c r="D40" s="71">
        <f>D64*$F$31</f>
        <v>165.55967000000001</v>
      </c>
      <c r="E40" s="73">
        <f>E64*$F$31</f>
        <v>9.7358899999999995</v>
      </c>
      <c r="F40" s="68" t="s">
        <v>85</v>
      </c>
      <c r="G40" s="71">
        <f>G64*$F$31</f>
        <v>185.37687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6.6591399999999998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Listwa maskująca ALU (profil L) ALU 230L</v>
      </c>
      <c r="AC40" s="91">
        <f t="shared" si="10"/>
        <v>114.81813</v>
      </c>
      <c r="AD40" s="91">
        <f t="shared" si="11"/>
        <v>114.81813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7" t="s">
        <v>358</v>
      </c>
      <c r="AP40" s="618"/>
      <c r="AQ40" s="44" t="s">
        <v>357</v>
      </c>
      <c r="AR40" s="43" t="s">
        <v>360</v>
      </c>
      <c r="AS40" s="44" t="s">
        <v>359</v>
      </c>
      <c r="AT40" s="417" t="s">
        <v>361</v>
      </c>
      <c r="AU40" s="385"/>
      <c r="AV40" s="44" t="s">
        <v>362</v>
      </c>
      <c r="AW40" s="40"/>
      <c r="AY40" s="17"/>
      <c r="AZ40" s="17"/>
      <c r="BC40" s="17"/>
      <c r="BD40" s="17"/>
    </row>
    <row r="41" spans="1:56" ht="13.5" thickBot="1" x14ac:dyDescent="0.25">
      <c r="A41" s="67"/>
      <c r="B41" s="72"/>
      <c r="C41" s="72"/>
      <c r="D41" s="71">
        <f>D65*$F$31</f>
        <v>224.55905000000001</v>
      </c>
      <c r="E41" s="72"/>
      <c r="F41" s="68" t="s">
        <v>86</v>
      </c>
      <c r="G41" s="71">
        <f>G65*$F$31</f>
        <v>255.91313</v>
      </c>
      <c r="H41" s="72"/>
      <c r="I41" s="72" t="s">
        <v>41</v>
      </c>
      <c r="J41" s="70">
        <f t="shared" si="8"/>
        <v>0</v>
      </c>
      <c r="K41" s="70">
        <f t="shared" si="12"/>
        <v>23.981380000000001</v>
      </c>
      <c r="L41" s="71">
        <f t="shared" si="12"/>
        <v>59.953450000000004</v>
      </c>
      <c r="M41" s="70"/>
      <c r="N41" s="71">
        <f>N65*$F$31</f>
        <v>6.6591399999999998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Osłona listwy mask. z uskokiem ALU nierd</v>
      </c>
      <c r="AC41" s="91">
        <f t="shared" si="10"/>
        <v>255.91313</v>
      </c>
      <c r="AD41" s="91">
        <f t="shared" si="11"/>
        <v>255.91313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Listwa tor. 8mm do zafrez. czarna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1">
        <f>AT41*AR41</f>
        <v>0</v>
      </c>
    </row>
    <row r="42" spans="1:56" ht="13.5" thickBot="1" x14ac:dyDescent="0.25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65.023520000000005</v>
      </c>
      <c r="L42" s="71">
        <f t="shared" si="12"/>
        <v>162.55880000000002</v>
      </c>
      <c r="M42" s="70"/>
      <c r="N42" s="71">
        <f>N66*$F$31</f>
        <v>6.6591399999999998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Listwa maskująca uni biała</v>
      </c>
      <c r="AC42" s="91">
        <f t="shared" si="10"/>
        <v>45.669879999999999</v>
      </c>
      <c r="AD42" s="91">
        <f t="shared" si="11"/>
        <v>45.669879999999999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Róg list.tor.90 °- 8mm czarny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5.2317799999999997</v>
      </c>
      <c r="AU42" s="121"/>
      <c r="AV42" s="121">
        <f>AT42*AR42</f>
        <v>0</v>
      </c>
      <c r="AW42" s="121"/>
      <c r="AX42" s="121"/>
    </row>
    <row r="43" spans="1:56" ht="13.5" thickBot="1" x14ac:dyDescent="0.25">
      <c r="A43" s="67" t="s">
        <v>392</v>
      </c>
      <c r="B43" s="68" t="s">
        <v>32</v>
      </c>
      <c r="C43" s="70">
        <f>C67*$F$31</f>
        <v>170.90098</v>
      </c>
      <c r="D43" s="70">
        <f>D67*$F$31</f>
        <v>188.14168000000001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115.13282</v>
      </c>
      <c r="L43" s="71">
        <f t="shared" si="12"/>
        <v>287.83204999999998</v>
      </c>
      <c r="M43" s="70"/>
      <c r="N43" s="71">
        <f>N67*$F$31</f>
        <v>6.6591399999999998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Listwa maskująca dekor brzoza</v>
      </c>
      <c r="AC43" s="91">
        <f t="shared" si="10"/>
        <v>61.848480000000002</v>
      </c>
      <c r="AD43" s="91">
        <f t="shared" si="11"/>
        <v>61.848480000000002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Listwa tor. 8mm do zafrez. czarna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5" thickBot="1" x14ac:dyDescent="0.25">
      <c r="A44" s="67"/>
      <c r="B44" s="68" t="s">
        <v>335</v>
      </c>
      <c r="C44" s="70">
        <f>C68*$F$31</f>
        <v>6.2376800000000001</v>
      </c>
      <c r="D44" s="72"/>
      <c r="E44" s="72"/>
      <c r="F44" s="72"/>
      <c r="G44" s="72"/>
      <c r="H44" s="72"/>
      <c r="I44" s="72" t="s">
        <v>123</v>
      </c>
      <c r="J44" s="70">
        <f t="shared" si="8"/>
        <v>108.78563</v>
      </c>
      <c r="K44" s="74" t="s">
        <v>124</v>
      </c>
      <c r="L44" s="71">
        <f t="shared" si="12"/>
        <v>108.78563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Listwa maskująca dekor buk</v>
      </c>
      <c r="AC44" s="91">
        <f t="shared" si="10"/>
        <v>61.848480000000002</v>
      </c>
      <c r="AD44" s="91">
        <f t="shared" si="11"/>
        <v>61.848480000000002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Ślimak rolety 8mm, dł.zwoju 670mm czar.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30.603929999999998</v>
      </c>
      <c r="AV44" s="50">
        <f>AT44*AR44</f>
        <v>0</v>
      </c>
    </row>
    <row r="45" spans="1:56" ht="13.5" thickBot="1" x14ac:dyDescent="0.25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27.88409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Listwa maskująca calvados</v>
      </c>
      <c r="AC45" s="91">
        <f t="shared" si="10"/>
        <v>48.943300000000001</v>
      </c>
      <c r="AD45" s="91">
        <f t="shared" si="11"/>
        <v>48.943300000000001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Ślimak rolety 8mm, dł.zwoju 670mm czar.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30.603929999999998</v>
      </c>
      <c r="AV45" s="120">
        <f>AT45*AR44</f>
        <v>0</v>
      </c>
    </row>
    <row r="46" spans="1:56" x14ac:dyDescent="0.2">
      <c r="A46" s="67"/>
      <c r="B46" s="72"/>
      <c r="C46" s="619" t="s">
        <v>35</v>
      </c>
      <c r="D46" s="619"/>
      <c r="E46" s="619"/>
      <c r="F46" s="72"/>
      <c r="G46" s="619" t="s">
        <v>34</v>
      </c>
      <c r="H46" s="619"/>
      <c r="I46" s="619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Listwa maskująca uni czarna</v>
      </c>
      <c r="AC46" s="91">
        <f t="shared" si="10"/>
        <v>45.669879999999999</v>
      </c>
      <c r="AD46" s="91">
        <f t="shared" si="11"/>
        <v>45.669879999999999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Ślimak rolety 8mm, dł.zwoju 670mm czar.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30.603929999999998</v>
      </c>
      <c r="AV46">
        <f>IF(SMER=1,AV44,AV45)</f>
        <v>0</v>
      </c>
    </row>
    <row r="47" spans="1:56" ht="13.5" thickBot="1" x14ac:dyDescent="0.25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Listwa maskująca dekor alum. (plast.)</v>
      </c>
      <c r="AC47" s="91">
        <f t="shared" si="10"/>
        <v>61.848480000000002</v>
      </c>
      <c r="AD47" s="91">
        <f t="shared" si="11"/>
        <v>61.848480000000002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">
      <c r="A48" s="67" t="s">
        <v>47</v>
      </c>
      <c r="B48" s="72"/>
      <c r="C48" s="70">
        <f t="shared" ref="C48:F49" si="13">C72*$F$31</f>
        <v>178.88355999999999</v>
      </c>
      <c r="D48" s="70">
        <f t="shared" si="13"/>
        <v>26.355560000000001</v>
      </c>
      <c r="E48" s="75">
        <f t="shared" si="13"/>
        <v>205.23911999999999</v>
      </c>
      <c r="F48" s="75" t="e">
        <f t="shared" si="13"/>
        <v>#N/A</v>
      </c>
      <c r="G48" s="70">
        <f t="shared" ref="G48:I49" si="14">G72*$F$31</f>
        <v>98.007369999999995</v>
      </c>
      <c r="H48" s="70">
        <f t="shared" si="14"/>
        <v>27.027149999999999</v>
      </c>
      <c r="I48" s="75">
        <f t="shared" si="14"/>
        <v>125.03451999999999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Listwa maskująca dekor jawor</v>
      </c>
      <c r="AC48" s="91">
        <f t="shared" si="10"/>
        <v>61.848480000000002</v>
      </c>
      <c r="AD48" s="91">
        <f t="shared" si="11"/>
        <v>61.848480000000002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5" thickBot="1" x14ac:dyDescent="0.25">
      <c r="A49" s="67" t="s">
        <v>48</v>
      </c>
      <c r="B49" s="72"/>
      <c r="C49" s="70">
        <f t="shared" si="13"/>
        <v>178.88355999999999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98.007369999999995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Listwa maskująca z uskokiem ALU-dolna cz</v>
      </c>
      <c r="AC49" s="91">
        <f t="shared" si="10"/>
        <v>98.007369999999995</v>
      </c>
      <c r="AD49" s="91">
        <f t="shared" si="11"/>
        <v>98.007369999999995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5" thickBo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Listwa maskująca uni szara</v>
      </c>
      <c r="AC50" s="91">
        <f t="shared" si="10"/>
        <v>45.669879999999999</v>
      </c>
      <c r="AD50" s="91">
        <f t="shared" si="11"/>
        <v>45.669879999999999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7" t="s">
        <v>358</v>
      </c>
      <c r="AP50" s="618"/>
      <c r="AQ50" s="44" t="s">
        <v>357</v>
      </c>
      <c r="AR50" s="43" t="s">
        <v>360</v>
      </c>
      <c r="AS50" s="44" t="s">
        <v>359</v>
      </c>
      <c r="AT50" s="417" t="s">
        <v>361</v>
      </c>
      <c r="AU50" s="385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5" thickBot="1" x14ac:dyDescent="0.2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Listwa maskująca dekor czereśnia Havana</v>
      </c>
      <c r="AC51" s="91">
        <f t="shared" si="10"/>
        <v>48.943300000000001</v>
      </c>
      <c r="AD51" s="91">
        <f t="shared" si="11"/>
        <v>48.943300000000001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Listwa tor. na wkręt czarna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20.510159999999999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Listwa tor. na wkręt czarna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20.510159999999999</v>
      </c>
    </row>
    <row r="52" spans="1:57" x14ac:dyDescent="0.2">
      <c r="R52" s="135" t="s">
        <v>396</v>
      </c>
      <c r="S52" s="23"/>
      <c r="Z52">
        <v>185</v>
      </c>
      <c r="AA52" s="90" t="s">
        <v>488</v>
      </c>
      <c r="AB52" s="179" t="str">
        <f t="shared" si="9"/>
        <v>Listwa maskująca dekor czereśnia</v>
      </c>
      <c r="AC52" s="91">
        <f t="shared" si="10"/>
        <v>61.848480000000002</v>
      </c>
      <c r="AD52" s="91">
        <f t="shared" si="11"/>
        <v>61.848480000000002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>Listwa tor.Frame-dol.część, ALU 230L</v>
      </c>
      <c r="AP52" s="121"/>
      <c r="AQ52" s="121" t="str">
        <f>IF(VEDENI=3,AA162,
IF(VEDENI=4,AA171,
IF(VEDENI=5,
IF(BARVA=16,AA156,AA155)," ")))</f>
        <v>R95818</v>
      </c>
      <c r="AR52" s="121">
        <f>IF(SMER=1,IF($T$3&gt;4,OBJ_KUSY*G16,OBJ_KUSY*G15),OBJ_KUSY*G27)</f>
        <v>0</v>
      </c>
      <c r="AS52" s="121" t="s">
        <v>124</v>
      </c>
      <c r="AT52" s="121">
        <f>IF(VEDENI=3,AC162,
IF(VEDENI=4,AC171,
IF(VEDENI=5,
IF(BARVA=16,AC156,AC155)," ")))</f>
        <v>108.78563</v>
      </c>
      <c r="AU52" s="121"/>
      <c r="AV52" s="121">
        <f>IF(VEDENI=3,AT52*AR52,IF(VEDENI=4,AT52*AR52,IF(VEDENI=5,AT52*AR52," ")))</f>
        <v>0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Listwa tor. na wkręt ciem. szara(al.)</v>
      </c>
      <c r="BA52" s="139">
        <f>IF(BARVA=9,výpočty!AC167,
IF(BARVA=10,výpočty!AC165,
IF(BARVA=12,AC158,
IF(BARVA=15,výpočty!AC170,výpočty!AC157))))</f>
        <v>20.510159999999999</v>
      </c>
    </row>
    <row r="53" spans="1:57" x14ac:dyDescent="0.2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Profil kryjący Frame szary</v>
      </c>
      <c r="AC53" s="91">
        <f t="shared" si="10"/>
        <v>23.981380000000001</v>
      </c>
      <c r="AD53" s="91">
        <f t="shared" si="11"/>
        <v>23.981380000000001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>Profil kryjący Frame czar.</v>
      </c>
      <c r="AQ53" t="str">
        <f>IF(VEDENI=3,IF(výpočty!$S$22=0,AY54,AY53),IF(VEDENI=4,IF(výpočty!$S$22=0,AY56,AY55)," "))</f>
        <v>R95832</v>
      </c>
      <c r="AR53">
        <f>IF(VEDENI&lt;3," ",IF(VEDENI=5," ",IF(SMER=1,OBJ_KUSY*G14*2.5,OBJ_KUSY*G26*2.5)))</f>
        <v>0</v>
      </c>
      <c r="AS53" t="s">
        <v>124</v>
      </c>
      <c r="AT53">
        <f>IF(VEDENI=3,IF(výpočty!$S$22=0,BA54,BA53),IF(VEDENI=4,IF(výpočty!$S$22=0,BA56,BA55)," "))</f>
        <v>23.981380000000001</v>
      </c>
      <c r="AV53">
        <f>IF(VEDENI=3,IF(výpočty!$S$22=0,AT53*AR53,AT53*AR53),IF(VEDENI=4,IF(výpočty!$S$22=0,AT53*AR53,AT53*AR53)," "))</f>
        <v>0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Profil kryjący Frame czar.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23.981380000000001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Zaślepka Frame czarna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27.88409</v>
      </c>
    </row>
    <row r="54" spans="1:57" ht="13.5" thickBot="1" x14ac:dyDescent="0.25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Profil kryjący Frame biały</v>
      </c>
      <c r="AC54" s="91">
        <f t="shared" si="10"/>
        <v>23.981380000000001</v>
      </c>
      <c r="AD54" s="91">
        <f t="shared" si="11"/>
        <v>23.981380000000001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>Zaślepka Frame czarna</v>
      </c>
      <c r="AQ54" t="str">
        <f>IF(VEDENI=3,
IF(výpočty!$BC$53=0,BC54,BC53),
IF(VEDENI=3,výpočty!AA198,
IF(VEDENI=5,BC55," ")))</f>
        <v>R95840</v>
      </c>
      <c r="AR54">
        <f>IF(VEDENI=3,1*OBJ_KUSY,IF(VEDENI=5,2*OBJ_KUSY," "))</f>
        <v>0</v>
      </c>
      <c r="AT54">
        <f>IF(VEDENI=3,IF(výpočty!$BE$53=0,BE54,BE53),IF(VEDENI=3,výpočty!AC198,IF(VEDENI=5,BE55," ")))</f>
        <v>27.88409</v>
      </c>
      <c r="AV54">
        <f>IF(VEDENI=3,AT54*AR54,IF(VEDENI=5,AT54*AR54," "))</f>
        <v>0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8" x14ac:dyDescent="0.25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Profil kryjący Frame brzoza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Ślimak rolety Top/Frame, dł.zwoju 1240mm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39.811579999999999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Profil kryjący Top czarny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18.595009999999998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Zaślepka do toru pionow. R92846 lewa</v>
      </c>
      <c r="BE55" s="126">
        <f>IF(BARVA&lt;13,výpočty!AC197,výpočty!AC198)</f>
        <v>3.1188400000000001</v>
      </c>
    </row>
    <row r="56" spans="1:57" ht="13.5" thickBot="1" x14ac:dyDescent="0.25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Róg list.tor. 90 °  Top/Frame</v>
      </c>
      <c r="AQ56" t="str">
        <f>AA211</f>
        <v>R95799</v>
      </c>
      <c r="AR56">
        <f>IF(T9=1,4*OBJ_KUSY,0)</f>
        <v>0</v>
      </c>
      <c r="AT56">
        <f>AC211</f>
        <v>6.6591399999999998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nie można</v>
      </c>
      <c r="AZ56" s="125" t="str">
        <f>IF(BARVA=9,výpočty!AB222,
IF(BARVA=10,výpočty!AB223,
IF(BARVA=12,AB209,
IF(BARVA=16,výpočty!AB224,
IF(BARVA=15,výpočty!AB68,Překlady!$A$84)))))</f>
        <v>nie można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">
      <c r="A57" s="67" t="s">
        <v>26</v>
      </c>
      <c r="B57" s="80">
        <f>AD113</f>
        <v>21.09207</v>
      </c>
      <c r="C57" s="81">
        <f>B57*2.5</f>
        <v>52.730175000000003</v>
      </c>
      <c r="D57" s="81">
        <f>AD27</f>
        <v>80.561509999999998</v>
      </c>
      <c r="E57" s="81">
        <f>AD19</f>
        <v>8.5023300000000006</v>
      </c>
      <c r="F57" s="82">
        <f>AD12</f>
        <v>0.60260999999999998</v>
      </c>
      <c r="G57" s="81">
        <f>AD43</f>
        <v>61.848480000000002</v>
      </c>
      <c r="H57" s="68"/>
      <c r="I57" s="68" t="s">
        <v>33</v>
      </c>
      <c r="J57" s="68">
        <f>AD157</f>
        <v>20.510159999999999</v>
      </c>
      <c r="K57" s="68"/>
      <c r="L57" s="81">
        <f t="shared" ref="L57:L67" si="15">2.5*(K57+J57)</f>
        <v>51.275399999999998</v>
      </c>
      <c r="M57" s="68"/>
      <c r="N57" s="81">
        <f>AD127</f>
        <v>5.8428699999999996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Profil kryjący Frame czar.</v>
      </c>
      <c r="AC57" s="91">
        <f t="shared" si="10"/>
        <v>23.981380000000001</v>
      </c>
      <c r="AD57" s="91">
        <f t="shared" si="11"/>
        <v>23.981380000000001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">
      <c r="A58" s="67" t="s">
        <v>27</v>
      </c>
      <c r="B58" s="80">
        <f>AD116</f>
        <v>19.28388</v>
      </c>
      <c r="C58" s="83">
        <f>B58*2.5</f>
        <v>48.209699999999998</v>
      </c>
      <c r="D58" s="83">
        <f>AD30</f>
        <v>69.139859999999999</v>
      </c>
      <c r="E58" s="146">
        <f>AD16</f>
        <v>18.350619999999999</v>
      </c>
      <c r="F58" s="147" t="s">
        <v>408</v>
      </c>
      <c r="G58" s="83">
        <f>AD46</f>
        <v>45.669879999999999</v>
      </c>
      <c r="H58" s="68"/>
      <c r="I58" s="68" t="s">
        <v>13</v>
      </c>
      <c r="J58" s="68">
        <f>AD160</f>
        <v>9.7397399999999994</v>
      </c>
      <c r="K58" s="68"/>
      <c r="L58" s="83">
        <f t="shared" si="15"/>
        <v>24.349349999999998</v>
      </c>
      <c r="M58" s="68"/>
      <c r="N58" s="83">
        <f>AD125</f>
        <v>5.2317799999999997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Profil kryjący Frame ALU 230L</v>
      </c>
      <c r="AC58" s="91">
        <f t="shared" si="10"/>
        <v>65.023520000000005</v>
      </c>
      <c r="AD58" s="91">
        <f t="shared" si="11"/>
        <v>65.023520000000005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">
      <c r="A59" s="67" t="s">
        <v>30</v>
      </c>
      <c r="B59" s="80">
        <f>AD91</f>
        <v>19.759789999999999</v>
      </c>
      <c r="C59" s="83">
        <f>B59*2.5</f>
        <v>49.399474999999995</v>
      </c>
      <c r="D59" s="83">
        <f>AD23</f>
        <v>165.55967000000001</v>
      </c>
      <c r="E59" s="83">
        <f>AD7</f>
        <v>9.7358899999999995</v>
      </c>
      <c r="F59" s="82"/>
      <c r="G59" s="83">
        <f>AD40</f>
        <v>114.81813</v>
      </c>
      <c r="H59" s="68"/>
      <c r="I59" s="68" t="s">
        <v>38</v>
      </c>
      <c r="J59" s="68">
        <v>0</v>
      </c>
      <c r="K59" s="68">
        <f>AD64</f>
        <v>24.326920000000001</v>
      </c>
      <c r="L59" s="83">
        <f t="shared" si="15"/>
        <v>60.817300000000003</v>
      </c>
      <c r="M59" s="68"/>
      <c r="N59" s="83">
        <f>AD211</f>
        <v>6.6591399999999998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Profil kryjący Frame al.(plast)</v>
      </c>
      <c r="AC59" s="91">
        <f t="shared" si="10"/>
        <v>66.605469999999997</v>
      </c>
      <c r="AD59" s="91">
        <f t="shared" si="11"/>
        <v>66.605469999999997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5" thickBot="1" x14ac:dyDescent="0.25">
      <c r="A60" s="67" t="s">
        <v>31</v>
      </c>
      <c r="B60" s="80">
        <f>AD92</f>
        <v>20.679410000000001</v>
      </c>
      <c r="C60" s="84">
        <f>B60*2.5</f>
        <v>51.698525000000004</v>
      </c>
      <c r="D60" s="84">
        <f>AD25</f>
        <v>224.55905000000001</v>
      </c>
      <c r="E60" s="84">
        <f>AD7</f>
        <v>9.7358899999999995</v>
      </c>
      <c r="F60" s="82"/>
      <c r="G60" s="84">
        <f>AD41</f>
        <v>255.91313</v>
      </c>
      <c r="H60" s="68"/>
      <c r="I60" s="68" t="s">
        <v>39</v>
      </c>
      <c r="J60" s="68">
        <v>0</v>
      </c>
      <c r="K60" s="68">
        <f>AD63</f>
        <v>18.595009999999998</v>
      </c>
      <c r="L60" s="83">
        <f t="shared" si="15"/>
        <v>46.487524999999998</v>
      </c>
      <c r="M60" s="68"/>
      <c r="N60" s="83">
        <f>AD211</f>
        <v>6.6591399999999998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Profil kryjący Frame jawor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52.337490000000003</v>
      </c>
      <c r="L61" s="83">
        <f t="shared" si="15"/>
        <v>130.84372500000001</v>
      </c>
      <c r="M61" s="68"/>
      <c r="N61" s="83">
        <f>AD211</f>
        <v>6.6591399999999998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91.980369999999994</v>
      </c>
      <c r="L62" s="83">
        <f t="shared" si="15"/>
        <v>229.95092499999998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65.652900000000002</v>
      </c>
      <c r="K63" s="74" t="s">
        <v>124</v>
      </c>
      <c r="L63" s="83">
        <f>J63</f>
        <v>65.652900000000002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Profil kryjący Top biały</v>
      </c>
      <c r="AC63" s="91">
        <f t="shared" ref="AC63:AC110" si="17">$AB$1*AD63</f>
        <v>18.595009999999998</v>
      </c>
      <c r="AD63" s="91">
        <f t="shared" ref="AD63:AD92" si="18">VLOOKUP(AA63,$Z$246:$AJ$508,(5+$AE$1),0)</f>
        <v>18.595009999999998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">
      <c r="A64" s="67" t="s">
        <v>15</v>
      </c>
      <c r="B64" s="68"/>
      <c r="C64" s="68"/>
      <c r="D64" s="68">
        <f>AD23</f>
        <v>165.55967000000001</v>
      </c>
      <c r="E64" s="82">
        <f>AD7</f>
        <v>9.7358899999999995</v>
      </c>
      <c r="F64" s="68" t="s">
        <v>85</v>
      </c>
      <c r="G64" s="82">
        <f>AD39</f>
        <v>185.37687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6.6591399999999998</v>
      </c>
      <c r="O64" s="69"/>
      <c r="Z64">
        <v>60</v>
      </c>
      <c r="AA64" s="90" t="s">
        <v>499</v>
      </c>
      <c r="AB64" s="179" t="str">
        <f t="shared" si="16"/>
        <v>Profil kryjący Top brzoza</v>
      </c>
      <c r="AC64" s="91">
        <f t="shared" si="17"/>
        <v>24.326920000000001</v>
      </c>
      <c r="AD64" s="91">
        <f t="shared" si="18"/>
        <v>24.326920000000001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5" thickBot="1" x14ac:dyDescent="0.25">
      <c r="A65" s="67"/>
      <c r="B65" s="68"/>
      <c r="C65" s="68"/>
      <c r="D65" s="68">
        <f>AD25</f>
        <v>224.55905000000001</v>
      </c>
      <c r="E65" s="68"/>
      <c r="F65" s="68" t="s">
        <v>86</v>
      </c>
      <c r="G65" s="82">
        <f>AD41</f>
        <v>255.91313</v>
      </c>
      <c r="H65" s="68"/>
      <c r="I65" s="68" t="s">
        <v>41</v>
      </c>
      <c r="J65" s="68">
        <v>0</v>
      </c>
      <c r="K65" s="68">
        <f>AD54</f>
        <v>23.981380000000001</v>
      </c>
      <c r="L65" s="84">
        <f t="shared" si="15"/>
        <v>59.953450000000004</v>
      </c>
      <c r="M65" s="68"/>
      <c r="N65" s="84">
        <f>AD211</f>
        <v>6.6591399999999998</v>
      </c>
      <c r="O65" s="69"/>
      <c r="Z65">
        <v>60</v>
      </c>
      <c r="AA65" s="90" t="s">
        <v>500</v>
      </c>
      <c r="AB65" s="179" t="str">
        <f t="shared" si="16"/>
        <v>Profil kryjący Top buk</v>
      </c>
      <c r="AC65" s="91">
        <f t="shared" si="17"/>
        <v>24.326920000000001</v>
      </c>
      <c r="AD65" s="91">
        <f t="shared" si="18"/>
        <v>24.326920000000001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5" thickBot="1" x14ac:dyDescent="0.25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65.023520000000005</v>
      </c>
      <c r="L66" s="82">
        <f t="shared" si="15"/>
        <v>162.55880000000002</v>
      </c>
      <c r="M66" s="68"/>
      <c r="N66" s="84">
        <f>AD211</f>
        <v>6.6591399999999998</v>
      </c>
      <c r="O66" s="69"/>
      <c r="Z66">
        <v>60</v>
      </c>
      <c r="AA66" s="90" t="s">
        <v>500</v>
      </c>
      <c r="AB66" s="179" t="str">
        <f t="shared" si="16"/>
        <v>Profil kryjący Top buk</v>
      </c>
      <c r="AC66" s="91">
        <f t="shared" si="17"/>
        <v>24.326920000000001</v>
      </c>
      <c r="AD66" s="91">
        <f t="shared" si="18"/>
        <v>24.326920000000001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5" thickBot="1" x14ac:dyDescent="0.25">
      <c r="A67" s="67" t="s">
        <v>392</v>
      </c>
      <c r="B67" s="68" t="s">
        <v>32</v>
      </c>
      <c r="C67" s="68">
        <f>AD155</f>
        <v>170.90098</v>
      </c>
      <c r="D67" s="68">
        <f>AD156</f>
        <v>188.14168000000001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115.13282</v>
      </c>
      <c r="L67" s="82">
        <f t="shared" si="15"/>
        <v>287.83204999999998</v>
      </c>
      <c r="M67" s="68"/>
      <c r="N67" s="84">
        <f>AD211</f>
        <v>6.6591399999999998</v>
      </c>
      <c r="O67" s="69"/>
      <c r="Z67">
        <v>34</v>
      </c>
      <c r="AA67" s="90" t="s">
        <v>501</v>
      </c>
      <c r="AB67" s="179" t="str">
        <f t="shared" si="16"/>
        <v>Profil kryjący Top czarny</v>
      </c>
      <c r="AC67" s="91">
        <f t="shared" si="17"/>
        <v>18.595009999999998</v>
      </c>
      <c r="AD67" s="91">
        <f t="shared" si="18"/>
        <v>18.595009999999998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">
      <c r="A68" s="67"/>
      <c r="B68" s="68" t="s">
        <v>335</v>
      </c>
      <c r="C68" s="68">
        <f>AD197*2</f>
        <v>6.2376800000000001</v>
      </c>
      <c r="D68" s="68"/>
      <c r="E68" s="68"/>
      <c r="F68" s="68"/>
      <c r="G68" s="68"/>
      <c r="H68" s="68"/>
      <c r="I68" s="72" t="s">
        <v>123</v>
      </c>
      <c r="J68" s="68">
        <f>AC162</f>
        <v>108.78563</v>
      </c>
      <c r="K68" s="74" t="s">
        <v>124</v>
      </c>
      <c r="L68" s="82">
        <f>J68</f>
        <v>108.78563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Profil kryjący Top ALU 230L</v>
      </c>
      <c r="AC68" s="91">
        <f t="shared" si="17"/>
        <v>52.337490000000003</v>
      </c>
      <c r="AD68" s="91">
        <f t="shared" si="18"/>
        <v>52.337490000000003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27.88409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Profil kryjący Top al.(plast)</v>
      </c>
      <c r="AC69" s="91">
        <f t="shared" si="17"/>
        <v>24.326920000000001</v>
      </c>
      <c r="AD69" s="91">
        <f t="shared" si="18"/>
        <v>24.326920000000001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">
      <c r="A70" s="67"/>
      <c r="B70" s="68"/>
      <c r="C70" s="617" t="s">
        <v>35</v>
      </c>
      <c r="D70" s="617"/>
      <c r="E70" s="617"/>
      <c r="F70" s="68"/>
      <c r="G70" s="617" t="s">
        <v>34</v>
      </c>
      <c r="H70" s="617"/>
      <c r="I70" s="617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Profil kryjący Top jawor</v>
      </c>
      <c r="AC70" s="91">
        <f t="shared" si="17"/>
        <v>24.326920000000001</v>
      </c>
      <c r="AD70" s="91">
        <f t="shared" si="18"/>
        <v>24.326920000000001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5" thickBot="1" x14ac:dyDescent="0.25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Profil kryjący Top szary</v>
      </c>
      <c r="AC71" s="91">
        <f t="shared" si="17"/>
        <v>18.595009999999998</v>
      </c>
      <c r="AD71" s="91">
        <f t="shared" si="18"/>
        <v>18.595009999999998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5" thickBot="1" x14ac:dyDescent="0.25">
      <c r="A72" s="85" t="s">
        <v>47</v>
      </c>
      <c r="B72" s="68"/>
      <c r="C72" s="68">
        <f>AD34</f>
        <v>178.88355999999999</v>
      </c>
      <c r="D72" s="80">
        <f>AD74</f>
        <v>26.355560000000001</v>
      </c>
      <c r="E72" s="86">
        <f>C72+D72</f>
        <v>205.23911999999999</v>
      </c>
      <c r="F72" s="68" t="e">
        <f>AD9</f>
        <v>#N/A</v>
      </c>
      <c r="G72" s="68">
        <f>AD49</f>
        <v>98.007369999999995</v>
      </c>
      <c r="H72" s="80">
        <f>AD84</f>
        <v>27.027149999999999</v>
      </c>
      <c r="I72" s="81">
        <f>G72+H72</f>
        <v>125.03451999999999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Profil kryjący Top czerś.</v>
      </c>
      <c r="AC72" s="91">
        <f t="shared" si="17"/>
        <v>24.326920000000001</v>
      </c>
      <c r="AD72" s="91">
        <f t="shared" si="18"/>
        <v>24.326920000000001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5" thickBot="1" x14ac:dyDescent="0.25">
      <c r="A73" s="85" t="s">
        <v>48</v>
      </c>
      <c r="B73" s="68"/>
      <c r="C73" s="68">
        <f>AD34</f>
        <v>178.88355999999999</v>
      </c>
      <c r="D73" s="80" t="e">
        <f>AD73</f>
        <v>#N/A</v>
      </c>
      <c r="E73" s="86" t="e">
        <f>C73+D73</f>
        <v>#N/A</v>
      </c>
      <c r="F73" s="68"/>
      <c r="G73" s="68">
        <f>AD49</f>
        <v>98.007369999999995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5" thickBot="1" x14ac:dyDescent="0.25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Osłona lis.koń.z uskokiem biała</v>
      </c>
      <c r="AC74" s="91">
        <f t="shared" si="17"/>
        <v>26.355560000000001</v>
      </c>
      <c r="AD74" s="91">
        <f t="shared" si="18"/>
        <v>26.355560000000001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5" thickBot="1" x14ac:dyDescent="0.25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25" x14ac:dyDescent="0.3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Osłona lis.koń.z uskokiem czarna</v>
      </c>
      <c r="AC77" s="91">
        <f t="shared" si="17"/>
        <v>26.355560000000001</v>
      </c>
      <c r="AD77" s="91">
        <f t="shared" si="18"/>
        <v>26.355560000000001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Osłona lis.koń.z uskokiem al.(plas.)</v>
      </c>
      <c r="AC78" s="91">
        <f t="shared" si="17"/>
        <v>44.565689999999996</v>
      </c>
      <c r="AD78" s="91">
        <f t="shared" si="18"/>
        <v>44.565689999999996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15.70008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Osłona lis.koń.z uskokiem jawor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42.180149999999998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Osłona lis.koń.z uskokiem szara</v>
      </c>
      <c r="AC80" s="91">
        <f t="shared" si="17"/>
        <v>26.355560000000001</v>
      </c>
      <c r="AD80" s="91">
        <f t="shared" si="18"/>
        <v>26.355560000000001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25.78689</v>
      </c>
      <c r="M81">
        <f t="shared" si="22"/>
        <v>84.051220000000001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12.394579999999999</v>
      </c>
      <c r="M82">
        <f t="shared" si="22"/>
        <v>45.669879999999999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Osłona listwy mask. z uskokiem jawor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5.2317799999999997</v>
      </c>
      <c r="M83">
        <f t="shared" si="22"/>
        <v>18.595009999999998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9.1345799999999997</v>
      </c>
      <c r="M84">
        <f t="shared" si="22"/>
        <v>8.5023300000000006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Osłona listwy mask. z uskokiem-uni czarn</v>
      </c>
      <c r="AC84" s="91">
        <f t="shared" si="17"/>
        <v>27.027149999999999</v>
      </c>
      <c r="AD84" s="91">
        <f t="shared" si="18"/>
        <v>27.027149999999999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Osłona listwy mask. z uskokiem-uni szara</v>
      </c>
      <c r="AC85" s="91">
        <f t="shared" si="17"/>
        <v>27.027149999999999</v>
      </c>
      <c r="AD85" s="91">
        <f t="shared" si="18"/>
        <v>27.027149999999999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Osłona listwy mask. z uskokiem-uni biała</v>
      </c>
      <c r="AC86" s="91">
        <f t="shared" si="17"/>
        <v>27.027149999999999</v>
      </c>
      <c r="AD86" s="91">
        <f t="shared" si="18"/>
        <v>27.027149999999999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5" thickBot="1" x14ac:dyDescent="0.25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Osłona listwy mask. z uskokiem alum.plas</v>
      </c>
      <c r="AC88" s="91">
        <f t="shared" si="17"/>
        <v>39.494030000000002</v>
      </c>
      <c r="AD88" s="91">
        <f t="shared" si="18"/>
        <v>39.494030000000002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25" x14ac:dyDescent="0.3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25" x14ac:dyDescent="0.3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Taśma klejąca, 50m w rolce</v>
      </c>
      <c r="AC90" s="91">
        <f t="shared" si="17"/>
        <v>167.18084999999999</v>
      </c>
      <c r="AD90" s="91">
        <f t="shared" si="18"/>
        <v>167.18084999999999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5" thickBot="1" x14ac:dyDescent="0.25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Roletowy profil Metal-line 20mm ALU 230L</v>
      </c>
      <c r="AC91" s="91">
        <f t="shared" si="17"/>
        <v>19.759789999999999</v>
      </c>
      <c r="AD91" s="91">
        <f t="shared" si="18"/>
        <v>19.759789999999999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5" thickBot="1" x14ac:dyDescent="0.25">
      <c r="A92" s="30" t="s">
        <v>595</v>
      </c>
      <c r="C92" t="s">
        <v>425</v>
      </c>
      <c r="D92" s="42">
        <f>K92</f>
        <v>620.73266999999998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620.73266999999998</v>
      </c>
      <c r="L92">
        <f>AD185</f>
        <v>620.73266999999998</v>
      </c>
      <c r="M92">
        <f t="shared" ref="M92:M108" si="24">L92*$AB$1</f>
        <v>620.73266999999998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Roletowy profil Matal-line 20mm nierdz 3</v>
      </c>
      <c r="AC92" s="91">
        <f t="shared" si="17"/>
        <v>20.679410000000001</v>
      </c>
      <c r="AD92" s="91">
        <f t="shared" si="18"/>
        <v>20.679410000000001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5" thickBot="1" x14ac:dyDescent="0.25">
      <c r="A93" s="30" t="s">
        <v>1183</v>
      </c>
      <c r="C93" t="s">
        <v>427</v>
      </c>
      <c r="D93" s="42">
        <f t="shared" ref="D93:D108" si="25">K93</f>
        <v>725.87396999999999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725.87396999999999</v>
      </c>
      <c r="L93">
        <f>L92+$F$31*AC3</f>
        <v>725.87396999999999</v>
      </c>
      <c r="M93">
        <f t="shared" si="24"/>
        <v>725.87396999999999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5" thickBot="1" x14ac:dyDescent="0.25">
      <c r="A94" s="30" t="s">
        <v>591</v>
      </c>
      <c r="C94" t="s">
        <v>336</v>
      </c>
      <c r="D94" s="42">
        <f t="shared" si="25"/>
        <v>617.58573000000001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617.58573000000001</v>
      </c>
      <c r="L94">
        <f>AD181</f>
        <v>617.58573000000001</v>
      </c>
      <c r="M94">
        <f t="shared" si="24"/>
        <v>617.58573000000001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5" thickBot="1" x14ac:dyDescent="0.25">
      <c r="A95" s="30" t="s">
        <v>1184</v>
      </c>
      <c r="C95" t="s">
        <v>337</v>
      </c>
      <c r="D95" s="42">
        <f t="shared" si="25"/>
        <v>722.72703000000001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722.72703000000001</v>
      </c>
      <c r="L95">
        <f>L94+$F$31*AC3</f>
        <v>722.72703000000001</v>
      </c>
      <c r="M95">
        <f t="shared" si="24"/>
        <v>722.72703000000001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5" thickBot="1" x14ac:dyDescent="0.25">
      <c r="A96" s="30" t="s">
        <v>592</v>
      </c>
      <c r="C96" t="s">
        <v>338</v>
      </c>
      <c r="D96" s="42">
        <f t="shared" si="25"/>
        <v>653.04493000000002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653.04493000000002</v>
      </c>
      <c r="L96">
        <f>AD182</f>
        <v>653.04493000000002</v>
      </c>
      <c r="M96">
        <f t="shared" si="24"/>
        <v>653.04493000000002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5" thickBot="1" x14ac:dyDescent="0.25">
      <c r="A97" s="30" t="s">
        <v>1185</v>
      </c>
      <c r="C97" t="s">
        <v>339</v>
      </c>
      <c r="D97" s="42">
        <f t="shared" si="25"/>
        <v>758.18623000000002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758.18623000000002</v>
      </c>
      <c r="L97">
        <f>L96+$F$31*AC3</f>
        <v>758.18623000000002</v>
      </c>
      <c r="M97">
        <f t="shared" si="24"/>
        <v>758.18623000000002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5" thickBot="1" x14ac:dyDescent="0.25">
      <c r="A98" s="30" t="s">
        <v>593</v>
      </c>
      <c r="C98" t="s">
        <v>340</v>
      </c>
      <c r="D98" s="42">
        <f t="shared" si="25"/>
        <v>682.26646000000005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682.26646000000005</v>
      </c>
      <c r="L98">
        <f>AD183</f>
        <v>682.26646000000005</v>
      </c>
      <c r="M98">
        <f t="shared" si="24"/>
        <v>682.26646000000005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5" thickBot="1" x14ac:dyDescent="0.25">
      <c r="A99" s="30" t="s">
        <v>1186</v>
      </c>
      <c r="C99" t="s">
        <v>341</v>
      </c>
      <c r="D99" s="42">
        <f t="shared" si="25"/>
        <v>787.40776000000005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787.40776000000005</v>
      </c>
      <c r="L99">
        <f>L98+$F$31*AC3</f>
        <v>787.40776000000005</v>
      </c>
      <c r="M99">
        <f t="shared" si="24"/>
        <v>787.40776000000005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5" thickBot="1" x14ac:dyDescent="0.25">
      <c r="A100" s="30" t="s">
        <v>594</v>
      </c>
      <c r="C100" t="s">
        <v>342</v>
      </c>
      <c r="D100" s="42">
        <f t="shared" si="25"/>
        <v>705.41887999999994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705.41887999999994</v>
      </c>
      <c r="L100">
        <f>AD184</f>
        <v>705.41887999999994</v>
      </c>
      <c r="M100">
        <f t="shared" si="24"/>
        <v>705.41887999999994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5" thickBot="1" x14ac:dyDescent="0.25">
      <c r="A101" s="182" t="s">
        <v>1189</v>
      </c>
      <c r="C101" t="s">
        <v>343</v>
      </c>
      <c r="D101" s="42">
        <f t="shared" si="25"/>
        <v>810.56017999999995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810.56017999999995</v>
      </c>
      <c r="L101">
        <f>L100+$F$31*AC3</f>
        <v>810.56017999999995</v>
      </c>
      <c r="M101">
        <f t="shared" si="24"/>
        <v>810.56017999999995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5" thickBot="1" x14ac:dyDescent="0.25">
      <c r="A102" s="30" t="s">
        <v>596</v>
      </c>
      <c r="C102" t="s">
        <v>119</v>
      </c>
      <c r="D102" s="42">
        <f t="shared" si="25"/>
        <v>74.031620000000004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74.031620000000004</v>
      </c>
      <c r="L102">
        <f>AD186</f>
        <v>74.031620000000004</v>
      </c>
      <c r="M102">
        <f t="shared" si="24"/>
        <v>74.031620000000004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5" thickBot="1" x14ac:dyDescent="0.25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5" thickBot="1" x14ac:dyDescent="0.25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5" thickBot="1" x14ac:dyDescent="0.25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">
      <c r="A106" s="30" t="s">
        <v>114</v>
      </c>
      <c r="C106" t="s">
        <v>119</v>
      </c>
      <c r="D106" s="141">
        <f t="shared" si="25"/>
        <v>18.350619999999999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18.350619999999999</v>
      </c>
      <c r="L106">
        <f>AD18</f>
        <v>18.350619999999999</v>
      </c>
      <c r="M106">
        <f t="shared" si="24"/>
        <v>18.350619999999999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5" thickBot="1" x14ac:dyDescent="0.25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5" thickBot="1" x14ac:dyDescent="0.25">
      <c r="A111" s="27" t="str">
        <f>IF(výpočty!$H$100=3,výpočty!A100,IF(výpočty!$H$101=3,výpočty!A101,Překlady!A92))</f>
        <v>nie można zastosować mech.rolet. C3</v>
      </c>
      <c r="B111" s="27"/>
      <c r="C111" s="27" t="str">
        <f>IF(výpočty!$H$100=3,výpočty!C100,IF(výpočty!$H$101=3,výpočty!C101,Překlady!A92))</f>
        <v>nie można zastosować mech.rolet. C3</v>
      </c>
      <c r="D111" s="27" t="str">
        <f>IF(výpočty!$H$100=3,výpočty!D100,IF(výpočty!$H$101=3,výpočty!D101,Překlady!A92))</f>
        <v>nie można zastosować mech.rolet. C3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Roletowy profil E23 biały</v>
      </c>
      <c r="AC112" s="91">
        <f t="shared" ref="AC112:AC143" si="29">$AB$1*AD112</f>
        <v>19.28388</v>
      </c>
      <c r="AD112" s="91">
        <f t="shared" ref="AD112:AD143" si="30">VLOOKUP(AA112,$Z$246:$AJ$508,(5+$AE$1),0)</f>
        <v>19.28388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Roletowy profil E23 brzoza</v>
      </c>
      <c r="AC113" s="91">
        <f t="shared" si="29"/>
        <v>21.09207</v>
      </c>
      <c r="AD113" s="91">
        <f t="shared" si="30"/>
        <v>21.09207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Roletowy profil E23 buk</v>
      </c>
      <c r="AC114" s="91">
        <f t="shared" si="29"/>
        <v>21.09207</v>
      </c>
      <c r="AD114" s="91">
        <f t="shared" si="30"/>
        <v>21.09207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5" thickBot="1" x14ac:dyDescent="0.25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18.350619999999999</v>
      </c>
      <c r="G115" s="24"/>
      <c r="Z115">
        <v>65</v>
      </c>
      <c r="AA115" s="90" t="s">
        <v>530</v>
      </c>
      <c r="AB115" s="179" t="str">
        <f t="shared" si="28"/>
        <v>Roletowy profil E23 calvados</v>
      </c>
      <c r="AC115" s="91">
        <f t="shared" si="29"/>
        <v>16.690989999999999</v>
      </c>
      <c r="AD115" s="91">
        <f t="shared" si="30"/>
        <v>16.690989999999999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5" thickBot="1" x14ac:dyDescent="0.25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Roletowy profil E23 czarny</v>
      </c>
      <c r="AC116" s="91">
        <f t="shared" si="29"/>
        <v>19.28388</v>
      </c>
      <c r="AD116" s="91">
        <f t="shared" si="30"/>
        <v>19.28388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5" thickBot="1" x14ac:dyDescent="0.25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Roletowy profil E23 al.(plast.)</v>
      </c>
      <c r="AC117" s="91">
        <f t="shared" si="29"/>
        <v>21.09207</v>
      </c>
      <c r="AD117" s="91">
        <f t="shared" si="30"/>
        <v>21.09207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25" x14ac:dyDescent="0.3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Roletowy profil E23 jawor</v>
      </c>
      <c r="AC118" s="91">
        <f t="shared" si="29"/>
        <v>21.09207</v>
      </c>
      <c r="AD118" s="91">
        <f t="shared" si="30"/>
        <v>21.09207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Roletowy profil E23 szary</v>
      </c>
      <c r="AC119" s="91">
        <f t="shared" si="29"/>
        <v>19.28388</v>
      </c>
      <c r="AD119" s="91">
        <f t="shared" si="30"/>
        <v>19.28388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Roletowy profil E23 czereś.Havana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Roletowy profil E23 czereśnia</v>
      </c>
      <c r="AC121" s="91">
        <f t="shared" si="29"/>
        <v>21.09207</v>
      </c>
      <c r="AD121" s="91">
        <f t="shared" si="30"/>
        <v>21.09207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Narożnik lis.tor.na wkr. jas.szary (al.)</v>
      </c>
      <c r="AC122" s="91">
        <f t="shared" si="29"/>
        <v>5.8428699999999996</v>
      </c>
      <c r="AD122" s="91">
        <f t="shared" si="30"/>
        <v>5.8428699999999996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Róg list.tor.90 °- 8mm biały</v>
      </c>
      <c r="AC123" s="91">
        <f t="shared" si="29"/>
        <v>5.2317799999999997</v>
      </c>
      <c r="AD123" s="91">
        <f t="shared" si="30"/>
        <v>5.2317799999999997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">
      <c r="A124" s="30"/>
      <c r="R124" s="31"/>
      <c r="Z124">
        <v>18</v>
      </c>
      <c r="AA124" s="90" t="s">
        <v>539</v>
      </c>
      <c r="AB124" s="179" t="str">
        <f t="shared" si="28"/>
        <v>Narożnik lis.tor.na wkr. czarny</v>
      </c>
      <c r="AC124" s="91">
        <f t="shared" si="29"/>
        <v>5.8428699999999996</v>
      </c>
      <c r="AD124" s="91">
        <f t="shared" si="30"/>
        <v>5.8428699999999996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Róg list.tor.90 °-8mm js.brąz (buk)</v>
      </c>
      <c r="AC125" s="91">
        <f t="shared" si="29"/>
        <v>5.2317799999999997</v>
      </c>
      <c r="AD125" s="91">
        <f t="shared" si="30"/>
        <v>5.2317799999999997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5" thickBot="1" x14ac:dyDescent="0.25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Narożnik lis.tor.na wkr. jas.brąz.(buk)</v>
      </c>
      <c r="AC126" s="91">
        <f t="shared" si="29"/>
        <v>5.8428699999999996</v>
      </c>
      <c r="AD126" s="91">
        <f t="shared" si="30"/>
        <v>5.8428699999999996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">
      <c r="Z127">
        <v>18</v>
      </c>
      <c r="AA127" s="90" t="s">
        <v>542</v>
      </c>
      <c r="AB127" s="179" t="str">
        <f t="shared" si="28"/>
        <v>Narożnik lis.tor.na wkr. Beżowy (jawor)</v>
      </c>
      <c r="AC127" s="91">
        <f t="shared" si="29"/>
        <v>5.8428699999999996</v>
      </c>
      <c r="AD127" s="91">
        <f t="shared" si="30"/>
        <v>5.8428699999999996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">
      <c r="Z128">
        <v>18</v>
      </c>
      <c r="AA128" s="90" t="s">
        <v>543</v>
      </c>
      <c r="AB128" s="179" t="str">
        <f t="shared" si="28"/>
        <v>Narożnik lis.tor.na wkr. Brązowy (Havana</v>
      </c>
      <c r="AC128" s="91">
        <f t="shared" si="29"/>
        <v>4.6248800000000001</v>
      </c>
      <c r="AD128" s="91">
        <f t="shared" si="30"/>
        <v>4.6248800000000001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">
      <c r="Z129">
        <v>18</v>
      </c>
      <c r="AA129" s="90" t="s">
        <v>544</v>
      </c>
      <c r="AB129" s="179" t="str">
        <f t="shared" si="28"/>
        <v>Narożnik lis.tor.na wkr. Brązowy (czerś.</v>
      </c>
      <c r="AC129" s="91">
        <f t="shared" si="29"/>
        <v>5.8428699999999996</v>
      </c>
      <c r="AD129" s="91">
        <f t="shared" si="30"/>
        <v>5.8428699999999996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">
      <c r="Z130">
        <v>18</v>
      </c>
      <c r="AA130" s="90" t="s">
        <v>545</v>
      </c>
      <c r="AB130" s="179" t="str">
        <f t="shared" si="28"/>
        <v>Narożnik lis.tor.na wkr. Beżowy (brzoza)</v>
      </c>
      <c r="AC130" s="91">
        <f t="shared" si="29"/>
        <v>5.8428699999999996</v>
      </c>
      <c r="AD130" s="91">
        <f t="shared" si="30"/>
        <v>5.8428699999999996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">
      <c r="Z131">
        <v>18</v>
      </c>
      <c r="AA131" s="90" t="s">
        <v>546</v>
      </c>
      <c r="AB131" s="179" t="str">
        <f t="shared" si="28"/>
        <v>Narożnik lis.tor.na wkr. Brązowy (calv.)</v>
      </c>
      <c r="AC131" s="91">
        <f t="shared" si="29"/>
        <v>4.6248800000000001</v>
      </c>
      <c r="AD131" s="91">
        <f t="shared" si="30"/>
        <v>4.6248800000000001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">
      <c r="Z132">
        <v>15.5</v>
      </c>
      <c r="AA132" s="90" t="s">
        <v>547</v>
      </c>
      <c r="AB132" s="179" t="str">
        <f t="shared" si="28"/>
        <v>Róg list.tor.90 °-8mm szary</v>
      </c>
      <c r="AC132" s="91">
        <f t="shared" si="29"/>
        <v>5.2317799999999997</v>
      </c>
      <c r="AD132" s="91">
        <f t="shared" si="30"/>
        <v>5.2317799999999997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">
      <c r="Z133">
        <v>18</v>
      </c>
      <c r="AA133" s="90" t="s">
        <v>548</v>
      </c>
      <c r="AB133" s="179" t="str">
        <f t="shared" si="28"/>
        <v>Narożnik lis.tor.na wkr. Szary</v>
      </c>
      <c r="AC133" s="91">
        <f t="shared" si="29"/>
        <v>5.8428699999999996</v>
      </c>
      <c r="AD133" s="91">
        <f t="shared" si="30"/>
        <v>5.8428699999999996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">
      <c r="Z134">
        <v>0</v>
      </c>
      <c r="AA134" s="90" t="s">
        <v>549</v>
      </c>
      <c r="AB134" s="179" t="str">
        <f t="shared" si="28"/>
        <v>Prof.łącz. do śr.lis.uchwyt.</v>
      </c>
      <c r="AC134" s="91">
        <f t="shared" si="29"/>
        <v>12.713850000000001</v>
      </c>
      <c r="AD134" s="91">
        <f t="shared" si="30"/>
        <v>12.713850000000001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">
      <c r="Z135">
        <v>7.7</v>
      </c>
      <c r="AA135" s="90" t="s">
        <v>550</v>
      </c>
      <c r="AB135" s="179" t="str">
        <f t="shared" si="28"/>
        <v>Amortyz.środkowa Top jas.brąz.(buk)</v>
      </c>
      <c r="AC135" s="91">
        <f t="shared" si="29"/>
        <v>2.0286400000000002</v>
      </c>
      <c r="AD135" s="91">
        <f t="shared" si="30"/>
        <v>2.0286400000000002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">
      <c r="Z136">
        <v>133</v>
      </c>
      <c r="AA136" s="90" t="s">
        <v>551</v>
      </c>
      <c r="AB136" s="179" t="str">
        <f t="shared" si="28"/>
        <v>Środkowa listwa uchwytowa C3-uni szara</v>
      </c>
      <c r="AC136" s="91">
        <f t="shared" si="29"/>
        <v>42.180149999999998</v>
      </c>
      <c r="AD136" s="91">
        <f t="shared" si="30"/>
        <v>42.180149999999998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">
      <c r="Z137">
        <v>133</v>
      </c>
      <c r="AA137" s="90" t="s">
        <v>552</v>
      </c>
      <c r="AB137" s="179" t="str">
        <f t="shared" si="28"/>
        <v>Środkowa listwa uchwytowa C3-uni biał.</v>
      </c>
      <c r="AC137" s="91">
        <f t="shared" si="29"/>
        <v>42.180149999999998</v>
      </c>
      <c r="AD137" s="91">
        <f t="shared" si="30"/>
        <v>42.180149999999998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">
      <c r="Z138">
        <v>175</v>
      </c>
      <c r="AA138" s="90" t="s">
        <v>553</v>
      </c>
      <c r="AB138" s="179" t="str">
        <f t="shared" si="28"/>
        <v>Środkowa listwa uchwytowa C3-dekor buk</v>
      </c>
      <c r="AC138" s="91">
        <f t="shared" si="29"/>
        <v>58.996630000000003</v>
      </c>
      <c r="AD138" s="91">
        <f t="shared" si="30"/>
        <v>58.996630000000003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">
      <c r="Z139">
        <v>133</v>
      </c>
      <c r="AA139" s="90" t="s">
        <v>554</v>
      </c>
      <c r="AB139" s="179" t="str">
        <f t="shared" si="28"/>
        <v>Środkowa listwa uchwytowa C3-uni czar.</v>
      </c>
      <c r="AC139" s="91">
        <f t="shared" si="29"/>
        <v>42.180149999999998</v>
      </c>
      <c r="AD139" s="91">
        <f t="shared" si="30"/>
        <v>42.180149999999998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">
      <c r="Z140">
        <v>370</v>
      </c>
      <c r="AA140" s="90" t="s">
        <v>555</v>
      </c>
      <c r="AB140" s="179" t="str">
        <f t="shared" si="28"/>
        <v>Śr. List. Uchw. C3 ALU z ad.ALU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">
      <c r="Z141">
        <v>370</v>
      </c>
      <c r="AA141" s="90" t="s">
        <v>556</v>
      </c>
      <c r="AB141" s="179" t="str">
        <f t="shared" si="28"/>
        <v>Środ. list. uchw. C3 z adapt. stal nier.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">
      <c r="Z142">
        <v>175</v>
      </c>
      <c r="AA142" s="90" t="s">
        <v>557</v>
      </c>
      <c r="AB142" s="179" t="str">
        <f t="shared" si="28"/>
        <v>Środkowa listwa uchwytowa C3-al.(plas)</v>
      </c>
      <c r="AC142" s="91">
        <f t="shared" si="29"/>
        <v>58.996630000000003</v>
      </c>
      <c r="AD142" s="91">
        <f t="shared" si="30"/>
        <v>58.996630000000003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">
      <c r="Z143">
        <v>10</v>
      </c>
      <c r="AA143" s="90" t="s">
        <v>558</v>
      </c>
      <c r="AB143" s="179" t="str">
        <f t="shared" si="28"/>
        <v>Środkowa amort.8mm biała</v>
      </c>
      <c r="AC143" s="91">
        <f t="shared" si="29"/>
        <v>2.5358299999999998</v>
      </c>
      <c r="AD143" s="91">
        <f t="shared" si="30"/>
        <v>2.5358299999999998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">
      <c r="Z144">
        <v>10</v>
      </c>
      <c r="AA144" s="90" t="s">
        <v>559</v>
      </c>
      <c r="AB144" s="179" t="str">
        <f t="shared" ref="AB144:AB175" si="31">VLOOKUP(AA144,$Z$246:$AJ$508,(1+$AE$1),0)</f>
        <v>Środkowa amort.8mm czarna</v>
      </c>
      <c r="AC144" s="91">
        <f t="shared" ref="AC144:AC175" si="32">$AB$1*AD144</f>
        <v>2.5358299999999998</v>
      </c>
      <c r="AD144" s="91">
        <f t="shared" ref="AD144:AD175" si="33">VLOOKUP(AA144,$Z$246:$AJ$508,(5+$AE$1),0)</f>
        <v>2.5358299999999998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">
      <c r="Z145">
        <v>10</v>
      </c>
      <c r="AA145" s="90" t="s">
        <v>560</v>
      </c>
      <c r="AB145" s="179" t="str">
        <f t="shared" si="31"/>
        <v>Środkowa amort.8mm jas.brąz (buk)</v>
      </c>
      <c r="AC145" s="91">
        <f t="shared" si="32"/>
        <v>2.5358299999999998</v>
      </c>
      <c r="AD145" s="91">
        <f t="shared" si="33"/>
        <v>2.5358299999999998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">
      <c r="Z146">
        <v>10</v>
      </c>
      <c r="AA146" s="90" t="s">
        <v>561</v>
      </c>
      <c r="AB146" s="179" t="str">
        <f t="shared" si="31"/>
        <v>Środkowa amort.8mm szara</v>
      </c>
      <c r="AC146" s="91">
        <f t="shared" si="32"/>
        <v>2.5358299999999998</v>
      </c>
      <c r="AD146" s="91">
        <f t="shared" si="33"/>
        <v>2.5358299999999998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">
      <c r="Z147">
        <v>7.7</v>
      </c>
      <c r="AA147" s="90" t="s">
        <v>562</v>
      </c>
      <c r="AB147" s="179" t="str">
        <f t="shared" si="31"/>
        <v>Amortyz.środkowa Top jas. szara (al.)</v>
      </c>
      <c r="AC147" s="91">
        <f t="shared" si="32"/>
        <v>2.0286400000000002</v>
      </c>
      <c r="AD147" s="91">
        <f t="shared" si="33"/>
        <v>2.0286400000000002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">
      <c r="Z148">
        <v>7.7</v>
      </c>
      <c r="AA148" s="90" t="s">
        <v>563</v>
      </c>
      <c r="AB148" s="179" t="str">
        <f t="shared" si="31"/>
        <v>Amortyz.środkowa Top biała</v>
      </c>
      <c r="AC148" s="91">
        <f t="shared" si="32"/>
        <v>2.0286400000000002</v>
      </c>
      <c r="AD148" s="91">
        <f t="shared" si="33"/>
        <v>2.0286400000000002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">
      <c r="Z149">
        <v>7.7</v>
      </c>
      <c r="AA149" s="90" t="s">
        <v>564</v>
      </c>
      <c r="AB149" s="179" t="str">
        <f t="shared" si="31"/>
        <v>Amortyz.środkowa Top czarna</v>
      </c>
      <c r="AC149" s="91">
        <f t="shared" si="32"/>
        <v>2.0286400000000002</v>
      </c>
      <c r="AD149" s="91">
        <f t="shared" si="33"/>
        <v>2.0286400000000002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">
      <c r="Z150">
        <v>7.7</v>
      </c>
      <c r="AA150" s="90" t="s">
        <v>562</v>
      </c>
      <c r="AB150" s="179" t="str">
        <f t="shared" si="31"/>
        <v>Amortyz.środkowa Top jas. szara (al.)</v>
      </c>
      <c r="AC150" s="91">
        <f t="shared" si="32"/>
        <v>2.0286400000000002</v>
      </c>
      <c r="AD150" s="91">
        <f t="shared" si="33"/>
        <v>2.0286400000000002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">
      <c r="Z151">
        <v>7.7</v>
      </c>
      <c r="AA151" s="90" t="s">
        <v>565</v>
      </c>
      <c r="AB151" s="179" t="str">
        <f t="shared" si="31"/>
        <v>Amortyz.środkowa Top beżowa(jawor)</v>
      </c>
      <c r="AC151" s="91">
        <f t="shared" si="32"/>
        <v>2.0286400000000002</v>
      </c>
      <c r="AD151" s="91">
        <f t="shared" si="33"/>
        <v>2.0286400000000002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">
      <c r="Z152">
        <v>7.7</v>
      </c>
      <c r="AA152" s="90" t="s">
        <v>566</v>
      </c>
      <c r="AB152" s="179" t="str">
        <f t="shared" si="31"/>
        <v>Amortyz.środkowa Top szara</v>
      </c>
      <c r="AC152" s="91">
        <f t="shared" si="32"/>
        <v>2.0286400000000002</v>
      </c>
      <c r="AD152" s="91">
        <f t="shared" si="33"/>
        <v>2.0286400000000002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">
      <c r="Z153">
        <v>7.7</v>
      </c>
      <c r="AA153" s="90" t="s">
        <v>567</v>
      </c>
      <c r="AB153" s="179" t="str">
        <f t="shared" si="31"/>
        <v>Amortyz.środkowa Top brąz.(czereś.)</v>
      </c>
      <c r="AC153" s="91">
        <f t="shared" si="32"/>
        <v>2.0286400000000002</v>
      </c>
      <c r="AD153" s="91">
        <f t="shared" si="33"/>
        <v>2.0286400000000002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">
      <c r="Z154">
        <v>53</v>
      </c>
      <c r="AA154" s="90" t="s">
        <v>568</v>
      </c>
      <c r="AB154" s="179" t="str">
        <f t="shared" si="31"/>
        <v>Listwa tor. na wkręt beżowa(brzoza)</v>
      </c>
      <c r="AC154" s="91">
        <f t="shared" si="32"/>
        <v>20.510159999999999</v>
      </c>
      <c r="AD154" s="91">
        <f t="shared" si="33"/>
        <v>20.510159999999999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">
      <c r="Z155">
        <v>595</v>
      </c>
      <c r="AA155" s="90" t="s">
        <v>569</v>
      </c>
      <c r="AB155" s="179" t="str">
        <f t="shared" si="31"/>
        <v>Listwa torowa Metal-line ALU 230L</v>
      </c>
      <c r="AC155" s="91">
        <f t="shared" si="32"/>
        <v>170.90098</v>
      </c>
      <c r="AD155" s="91">
        <f t="shared" si="33"/>
        <v>170.90098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">
      <c r="Z156">
        <v>595</v>
      </c>
      <c r="AA156" s="90" t="s">
        <v>570</v>
      </c>
      <c r="AB156" s="179" t="str">
        <f t="shared" si="31"/>
        <v>Listwa torowa Metal-line nierdz. 360L</v>
      </c>
      <c r="AC156" s="91">
        <f t="shared" si="32"/>
        <v>188.14168000000001</v>
      </c>
      <c r="AD156" s="91">
        <f t="shared" si="33"/>
        <v>188.14168000000001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">
      <c r="Z157">
        <v>53</v>
      </c>
      <c r="AA157" s="90" t="s">
        <v>571</v>
      </c>
      <c r="AB157" s="179" t="str">
        <f t="shared" si="31"/>
        <v>Listwa tor. na wkręt ciem. szara(al.)</v>
      </c>
      <c r="AC157" s="91">
        <f t="shared" si="32"/>
        <v>20.510159999999999</v>
      </c>
      <c r="AD157" s="91">
        <f t="shared" si="33"/>
        <v>20.510159999999999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">
      <c r="Z158">
        <v>29</v>
      </c>
      <c r="AA158" s="90" t="s">
        <v>572</v>
      </c>
      <c r="AB158" s="179" t="str">
        <f t="shared" si="31"/>
        <v>Listwa tor. 8mm do zafrez. biała</v>
      </c>
      <c r="AC158" s="91">
        <f t="shared" si="32"/>
        <v>9.7400800000000007</v>
      </c>
      <c r="AD158" s="91">
        <f t="shared" si="33"/>
        <v>9.7400800000000007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">
      <c r="Z159">
        <v>53</v>
      </c>
      <c r="AA159" s="90" t="s">
        <v>573</v>
      </c>
      <c r="AB159" s="179" t="str">
        <f t="shared" si="31"/>
        <v>Listwa tor. na wkręt biała</v>
      </c>
      <c r="AC159" s="91">
        <f t="shared" si="32"/>
        <v>20.510159999999999</v>
      </c>
      <c r="AD159" s="91">
        <f t="shared" si="33"/>
        <v>20.510159999999999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">
      <c r="Z160">
        <v>29</v>
      </c>
      <c r="AA160" s="90" t="s">
        <v>574</v>
      </c>
      <c r="AB160" s="179" t="str">
        <f t="shared" si="31"/>
        <v>Listwa tor. 8mm do zafrez. czarna</v>
      </c>
      <c r="AC160" s="91">
        <f t="shared" si="32"/>
        <v>9.7397399999999994</v>
      </c>
      <c r="AD160" s="91">
        <f t="shared" si="33"/>
        <v>9.7397399999999994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">
      <c r="Z161">
        <v>53</v>
      </c>
      <c r="AA161" s="90" t="s">
        <v>575</v>
      </c>
      <c r="AB161" s="179" t="str">
        <f t="shared" si="31"/>
        <v>Listwa tor. na wkręt czarna</v>
      </c>
      <c r="AC161" s="91">
        <f t="shared" si="32"/>
        <v>20.510159999999999</v>
      </c>
      <c r="AD161" s="91">
        <f t="shared" si="33"/>
        <v>20.510159999999999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">
      <c r="Z162">
        <v>315</v>
      </c>
      <c r="AA162" s="90" t="s">
        <v>576</v>
      </c>
      <c r="AB162" s="179" t="str">
        <f t="shared" si="31"/>
        <v>Listwa tor.Frame-dol.część, ALU 230L</v>
      </c>
      <c r="AC162" s="91">
        <f t="shared" si="32"/>
        <v>108.78563</v>
      </c>
      <c r="AD162" s="91">
        <f t="shared" si="33"/>
        <v>108.78563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">
      <c r="Z163">
        <v>29</v>
      </c>
      <c r="AA163" s="90" t="s">
        <v>577</v>
      </c>
      <c r="AB163" s="179" t="str">
        <f t="shared" si="31"/>
        <v>Listwa tor. 8mm do zafrez.jas.br.buk</v>
      </c>
      <c r="AC163" s="91">
        <f t="shared" si="32"/>
        <v>9.7397399999999994</v>
      </c>
      <c r="AD163" s="91">
        <f t="shared" si="33"/>
        <v>9.7397399999999994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">
      <c r="Z164">
        <v>53</v>
      </c>
      <c r="AA164" s="90" t="s">
        <v>578</v>
      </c>
      <c r="AB164" s="179" t="str">
        <f t="shared" si="31"/>
        <v>Listwa tor. na wkręt jas.brąz(buk)</v>
      </c>
      <c r="AC164" s="91">
        <f t="shared" si="32"/>
        <v>20.510159999999999</v>
      </c>
      <c r="AD164" s="91">
        <f t="shared" si="33"/>
        <v>20.510159999999999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">
      <c r="Z165">
        <v>53</v>
      </c>
      <c r="AA165" s="90" t="s">
        <v>579</v>
      </c>
      <c r="AB165" s="179" t="str">
        <f t="shared" si="31"/>
        <v>Listwa tor. na wkręt brąz(calvados)</v>
      </c>
      <c r="AC165" s="91">
        <f t="shared" si="32"/>
        <v>16.23028</v>
      </c>
      <c r="AD165" s="91">
        <f t="shared" si="33"/>
        <v>16.23028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">
      <c r="Z166">
        <v>53</v>
      </c>
      <c r="AA166" s="90" t="s">
        <v>580</v>
      </c>
      <c r="AB166" s="179" t="str">
        <f t="shared" si="31"/>
        <v>Listwa tor. na wkręt beżowa(jawor)</v>
      </c>
      <c r="AC166" s="91">
        <f t="shared" si="32"/>
        <v>20.510159999999999</v>
      </c>
      <c r="AD166" s="91">
        <f t="shared" si="33"/>
        <v>20.510159999999999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">
      <c r="Z167">
        <v>53</v>
      </c>
      <c r="AA167" s="90" t="s">
        <v>581</v>
      </c>
      <c r="AB167" s="179" t="str">
        <f t="shared" si="31"/>
        <v>Listwa tor. na wkręt brąz(Havana)</v>
      </c>
      <c r="AC167" s="91">
        <f t="shared" si="32"/>
        <v>16.23028</v>
      </c>
      <c r="AD167" s="91">
        <f t="shared" si="33"/>
        <v>16.23028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">
      <c r="Z168">
        <v>53</v>
      </c>
      <c r="AA168" s="90" t="s">
        <v>582</v>
      </c>
      <c r="AB168" s="179" t="str">
        <f t="shared" si="31"/>
        <v>Listwa tor. na wkręt brąz(czereś.)</v>
      </c>
      <c r="AC168" s="91">
        <f t="shared" si="32"/>
        <v>20.510159999999999</v>
      </c>
      <c r="AD168" s="91">
        <f t="shared" si="33"/>
        <v>20.510159999999999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">
      <c r="Z169">
        <v>29</v>
      </c>
      <c r="AA169" s="90" t="s">
        <v>583</v>
      </c>
      <c r="AB169" s="179" t="str">
        <f t="shared" si="31"/>
        <v>Listwa tor. 8mm do zafrez. szara</v>
      </c>
      <c r="AC169" s="91">
        <f t="shared" si="32"/>
        <v>9.7397399999999994</v>
      </c>
      <c r="AD169" s="91">
        <f t="shared" si="33"/>
        <v>9.7397399999999994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">
      <c r="Z170">
        <v>53</v>
      </c>
      <c r="AA170" s="90" t="s">
        <v>584</v>
      </c>
      <c r="AB170" s="179" t="str">
        <f t="shared" si="31"/>
        <v>Listwa tor. na wkręt szara</v>
      </c>
      <c r="AC170" s="91">
        <f t="shared" si="32"/>
        <v>20.510159999999999</v>
      </c>
      <c r="AD170" s="91">
        <f t="shared" si="33"/>
        <v>20.510159999999999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">
      <c r="Z171" s="355">
        <v>190</v>
      </c>
      <c r="AA171" s="356" t="s">
        <v>585</v>
      </c>
      <c r="AB171" s="357" t="str">
        <f t="shared" si="31"/>
        <v>Listwa tor.Top-dolna część, ALU 230L</v>
      </c>
      <c r="AC171" s="358">
        <f t="shared" si="32"/>
        <v>65.652900000000002</v>
      </c>
      <c r="AD171" s="358">
        <f t="shared" si="33"/>
        <v>65.652900000000002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">
      <c r="Z172">
        <v>117</v>
      </c>
      <c r="AA172" s="90" t="s">
        <v>586</v>
      </c>
      <c r="AB172" s="179" t="str">
        <f t="shared" si="31"/>
        <v>Ślimak rolety 8mm, dł.zwoju 1280mm czar.</v>
      </c>
      <c r="AC172" s="91">
        <f t="shared" si="32"/>
        <v>40.918610000000001</v>
      </c>
      <c r="AD172" s="91">
        <f t="shared" si="33"/>
        <v>40.918610000000001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">
      <c r="Z173">
        <v>117</v>
      </c>
      <c r="AA173" s="90" t="s">
        <v>587</v>
      </c>
      <c r="AB173" s="179" t="str">
        <f t="shared" si="31"/>
        <v>Ślimak rolety 8mm, dł.zwoju 1280mm szary</v>
      </c>
      <c r="AC173" s="91">
        <f t="shared" si="32"/>
        <v>40.918610000000001</v>
      </c>
      <c r="AD173" s="91">
        <f t="shared" si="33"/>
        <v>40.918610000000001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">
      <c r="Z174">
        <v>92</v>
      </c>
      <c r="AA174" s="90" t="s">
        <v>588</v>
      </c>
      <c r="AB174" s="179" t="str">
        <f t="shared" si="31"/>
        <v>Ślimak rolety 8mm, dł.zwoju 670mm czar.</v>
      </c>
      <c r="AC174" s="91">
        <f t="shared" si="32"/>
        <v>30.603929999999998</v>
      </c>
      <c r="AD174" s="91">
        <f t="shared" si="33"/>
        <v>30.603929999999998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">
      <c r="Z176">
        <v>153</v>
      </c>
      <c r="AA176" s="90" t="s">
        <v>589</v>
      </c>
      <c r="AB176" s="179" t="str">
        <f>VLOOKUP(AA176,$Z$246:$AJ$508,(1+$AE$1),0)</f>
        <v>Ślimak rolety 8mm, dł.zwoju 1590mm czar.</v>
      </c>
      <c r="AC176" s="91">
        <f t="shared" ref="AC176:AC205" si="34">$AB$1*AD176</f>
        <v>50.744320000000002</v>
      </c>
      <c r="AD176" s="91">
        <f t="shared" ref="AD176:AD198" si="35">VLOOKUP(AA176,$Z$246:$AJ$508,(5+$AE$1),0)</f>
        <v>50.744320000000002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">
      <c r="Z177">
        <v>118</v>
      </c>
      <c r="AA177" s="90" t="s">
        <v>590</v>
      </c>
      <c r="AB177" s="179" t="str">
        <f>VLOOKUP(AA177,$Z$246:$AJ$508,(1+$AE$1),0)</f>
        <v>Ślimak rolety Top/Frame, dł.zwoju 1240mm</v>
      </c>
      <c r="AC177" s="91">
        <f t="shared" si="34"/>
        <v>39.811579999999999</v>
      </c>
      <c r="AD177" s="91">
        <f t="shared" si="35"/>
        <v>39.811579999999999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">
      <c r="Z180">
        <v>88</v>
      </c>
      <c r="AA180" s="90" t="s">
        <v>610</v>
      </c>
      <c r="AB180" s="179" t="str">
        <f t="shared" ref="AB180:AB198" si="36">VLOOKUP(AA180,$Z$246:$AJ$508,(1+$AE$1),0)</f>
        <v>Listwa torowa 15,5mm pionowa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">
      <c r="Z181">
        <v>1720</v>
      </c>
      <c r="AA181" s="90" t="s">
        <v>591</v>
      </c>
      <c r="AB181" s="179" t="str">
        <f t="shared" si="36"/>
        <v>Mechanizm roletowy C3 - 600 mm</v>
      </c>
      <c r="AC181" s="91">
        <f t="shared" si="34"/>
        <v>617.58573000000001</v>
      </c>
      <c r="AD181" s="91">
        <f t="shared" si="35"/>
        <v>617.58573000000001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">
      <c r="Z182">
        <v>1820</v>
      </c>
      <c r="AA182" s="90" t="s">
        <v>592</v>
      </c>
      <c r="AB182" s="179" t="str">
        <f t="shared" si="36"/>
        <v>Mechanizm roletowy  C3 - 800 mm</v>
      </c>
      <c r="AC182" s="91">
        <f t="shared" si="34"/>
        <v>653.04493000000002</v>
      </c>
      <c r="AD182" s="91">
        <f t="shared" si="35"/>
        <v>653.04493000000002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">
      <c r="Z183">
        <v>1870</v>
      </c>
      <c r="AA183" s="90" t="s">
        <v>593</v>
      </c>
      <c r="AB183" s="179" t="str">
        <f t="shared" si="36"/>
        <v>Mechanizm roletowy  C3 - 1000 mm</v>
      </c>
      <c r="AC183" s="91">
        <f t="shared" si="34"/>
        <v>682.26646000000005</v>
      </c>
      <c r="AD183" s="91">
        <f t="shared" si="35"/>
        <v>682.26646000000005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">
      <c r="Z184">
        <v>1920</v>
      </c>
      <c r="AA184" s="90" t="s">
        <v>594</v>
      </c>
      <c r="AB184" s="179" t="str">
        <f t="shared" si="36"/>
        <v>Mechanizm roletowy  C3 - 1200 mm</v>
      </c>
      <c r="AC184" s="91">
        <f t="shared" si="34"/>
        <v>705.41887999999994</v>
      </c>
      <c r="AD184" s="91">
        <f t="shared" si="35"/>
        <v>705.41887999999994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">
      <c r="Z185">
        <v>2290</v>
      </c>
      <c r="AA185" s="90" t="s">
        <v>595</v>
      </c>
      <c r="AB185" s="179" t="str">
        <f t="shared" si="36"/>
        <v>Mechanizm roletowy  C3 - 400 mm</v>
      </c>
      <c r="AC185" s="91">
        <f t="shared" si="34"/>
        <v>620.73266999999998</v>
      </c>
      <c r="AD185" s="91">
        <f t="shared" si="35"/>
        <v>620.73266999999998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">
      <c r="Z186">
        <v>230</v>
      </c>
      <c r="AA186" s="90" t="s">
        <v>596</v>
      </c>
      <c r="AB186" s="179" t="str">
        <f t="shared" si="36"/>
        <v>Mechanizm roletowy  C6</v>
      </c>
      <c r="AC186" s="91">
        <f t="shared" si="34"/>
        <v>74.031620000000004</v>
      </c>
      <c r="AD186" s="91">
        <f t="shared" si="35"/>
        <v>74.031620000000004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">
      <c r="Z188">
        <v>80</v>
      </c>
      <c r="AA188" s="90" t="s">
        <v>598</v>
      </c>
      <c r="AB188" s="179" t="str">
        <f t="shared" si="36"/>
        <v>Zaślepka Frame biała</v>
      </c>
      <c r="AC188" s="91">
        <f t="shared" si="34"/>
        <v>27.88409</v>
      </c>
      <c r="AD188" s="91">
        <f t="shared" si="35"/>
        <v>27.88409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">
      <c r="Z190">
        <v>80</v>
      </c>
      <c r="AA190" s="90" t="s">
        <v>600</v>
      </c>
      <c r="AB190" s="179" t="str">
        <f t="shared" si="36"/>
        <v>Zaślepka Frame jas.brąz (buk)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">
      <c r="Z191">
        <v>80</v>
      </c>
      <c r="AA191" s="90" t="s">
        <v>601</v>
      </c>
      <c r="AB191" s="179" t="str">
        <f t="shared" si="36"/>
        <v>Zaślepka Frame czarna</v>
      </c>
      <c r="AC191" s="91">
        <f t="shared" si="34"/>
        <v>27.88409</v>
      </c>
      <c r="AD191" s="91">
        <f t="shared" si="35"/>
        <v>27.88409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">
      <c r="Z193">
        <v>80</v>
      </c>
      <c r="AA193" s="90" t="s">
        <v>602</v>
      </c>
      <c r="AB193" s="179" t="str">
        <f t="shared" si="36"/>
        <v>Zaślepka Frame beżowa (jawor)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">
      <c r="Z194" s="24" t="s">
        <v>2344</v>
      </c>
      <c r="AA194" s="90" t="s">
        <v>603</v>
      </c>
      <c r="AB194" s="179" t="str">
        <f t="shared" si="36"/>
        <v>Zaślepka Frame szara</v>
      </c>
      <c r="AC194" s="91">
        <f t="shared" si="34"/>
        <v>27.88409</v>
      </c>
      <c r="AD194" s="91">
        <f t="shared" si="35"/>
        <v>27.88409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">
      <c r="Z195">
        <v>80</v>
      </c>
      <c r="AA195" s="90" t="s">
        <v>604</v>
      </c>
      <c r="AB195" s="179" t="str">
        <f t="shared" si="36"/>
        <v>Zaślepka Frame jas. szara (al.)</v>
      </c>
      <c r="AC195" s="91">
        <f t="shared" si="34"/>
        <v>27.88409</v>
      </c>
      <c r="AD195" s="91">
        <f t="shared" si="35"/>
        <v>27.88409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">
      <c r="Z197">
        <v>20</v>
      </c>
      <c r="AA197" s="171" t="s">
        <v>770</v>
      </c>
      <c r="AB197" s="179" t="str">
        <f t="shared" si="36"/>
        <v>Zaślepka do toru pionow. R92845 lewa</v>
      </c>
      <c r="AC197" s="91">
        <f t="shared" si="34"/>
        <v>3.1188400000000001</v>
      </c>
      <c r="AD197" s="91">
        <f t="shared" si="35"/>
        <v>3.1188400000000001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">
      <c r="Z198">
        <v>20</v>
      </c>
      <c r="AA198" s="171" t="s">
        <v>778</v>
      </c>
      <c r="AB198" s="179" t="str">
        <f t="shared" si="36"/>
        <v>Zaślepka do toru pionow. R92846 lewa</v>
      </c>
      <c r="AC198" s="91">
        <f t="shared" si="34"/>
        <v>3.1188400000000001</v>
      </c>
      <c r="AD198" s="91">
        <f t="shared" si="35"/>
        <v>3.1188400000000001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">
      <c r="Z199" t="s">
        <v>377</v>
      </c>
      <c r="AA199" s="93" t="str">
        <f>Překlady!$A$92</f>
        <v>nie można zastosować mech.rolet. C3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">
      <c r="Z201" s="321" t="s">
        <v>2005</v>
      </c>
      <c r="AA201" s="93" t="s">
        <v>636</v>
      </c>
      <c r="AB201" s="179" t="str">
        <f t="shared" ref="AB201:AB204" si="37">VLOOKUP(AA201,$Z$246:$AJ$508,(1+$AE$1),0)</f>
        <v>Roletowy profil E4 al.(plast)</v>
      </c>
      <c r="AC201" s="91">
        <f t="shared" si="34"/>
        <v>25.78689</v>
      </c>
      <c r="AD201" s="91">
        <f t="shared" ref="AD201:AD204" si="38">VLOOKUP(AA201,$Z$246:$AJ$508,(5+$AE$1),0)</f>
        <v>25.78689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">
      <c r="AA202" s="336" t="s">
        <v>663</v>
      </c>
      <c r="AB202" s="179" t="str">
        <f t="shared" si="37"/>
        <v>Listwa tor. 12mm do zafrez. szara</v>
      </c>
      <c r="AC202" s="91">
        <f t="shared" si="34"/>
        <v>12.394579999999999</v>
      </c>
      <c r="AD202" s="91">
        <f t="shared" si="38"/>
        <v>12.394579999999999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">
      <c r="AA203" s="336" t="s">
        <v>684</v>
      </c>
      <c r="AB203" s="179" t="str">
        <f t="shared" si="37"/>
        <v>Róg list.tor.90 °-12mm szary</v>
      </c>
      <c r="AC203" s="91">
        <f t="shared" si="34"/>
        <v>5.2317799999999997</v>
      </c>
      <c r="AD203" s="91">
        <f t="shared" si="38"/>
        <v>5.2317799999999997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">
      <c r="AA204" s="336" t="s">
        <v>734</v>
      </c>
      <c r="AB204" s="179" t="str">
        <f t="shared" si="37"/>
        <v>Ślizgacz 12 mm szara</v>
      </c>
      <c r="AC204" s="91">
        <f t="shared" si="34"/>
        <v>9.1345799999999997</v>
      </c>
      <c r="AD204" s="91">
        <f t="shared" si="38"/>
        <v>9.1345799999999997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">
      <c r="Z205" s="321" t="s">
        <v>2008</v>
      </c>
      <c r="AA205" s="93">
        <v>353554</v>
      </c>
      <c r="AB205" s="179" t="str">
        <f t="shared" ref="AB205:AB210" si="39">VLOOKUP(AA205,$Z$246:$AJ$508,(1+$AE$1),0)</f>
        <v>Roletowy profil E9 jedwabiście biały</v>
      </c>
      <c r="AC205" s="91">
        <f t="shared" si="34"/>
        <v>15.70008</v>
      </c>
      <c r="AD205" s="91">
        <f t="shared" ref="AD205" si="40">VLOOKUP(AA205,$Z$246:$AJ$508,(5+$AE$1),0)</f>
        <v>15.70008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">
      <c r="AA206" s="93">
        <v>353559</v>
      </c>
      <c r="AB206" s="179" t="str">
        <f t="shared" si="39"/>
        <v>Środkowa listwa uchwytowa jedwabiście biała</v>
      </c>
      <c r="AC206" s="91">
        <f t="shared" ref="AC206:AC208" si="41">$AB$1*AD206</f>
        <v>42.180149999999998</v>
      </c>
      <c r="AD206" s="91">
        <f t="shared" ref="AD206:AD210" si="42">VLOOKUP(AA206,$Z$246:$AJ$508,(5+$AE$1),0)</f>
        <v>42.180149999999998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">
      <c r="AA207" s="93">
        <v>353557</v>
      </c>
      <c r="AB207" s="179" t="str">
        <f t="shared" si="39"/>
        <v>Listwa końcowa jedwabiście biała</v>
      </c>
      <c r="AC207" s="91">
        <f t="shared" si="41"/>
        <v>84.051220000000001</v>
      </c>
      <c r="AD207" s="91">
        <f t="shared" si="42"/>
        <v>84.051220000000001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">
      <c r="AA208" s="93">
        <v>353560</v>
      </c>
      <c r="AB208" s="179" t="str">
        <f t="shared" si="39"/>
        <v>Listwa maskująca uni jedwabiście biała</v>
      </c>
      <c r="AC208" s="91">
        <f t="shared" si="41"/>
        <v>45.669879999999999</v>
      </c>
      <c r="AD208" s="91">
        <f t="shared" si="42"/>
        <v>45.669879999999999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">
      <c r="AA209" s="93">
        <v>353556</v>
      </c>
      <c r="AB209" s="93" t="str">
        <f t="shared" si="39"/>
        <v>Profil maskujący Top jedwabiście biały</v>
      </c>
      <c r="AC209" s="91">
        <f t="shared" ref="AC209:AC240" si="43">$AB$1*AD209</f>
        <v>18.595009999999998</v>
      </c>
      <c r="AD209" s="94">
        <f t="shared" si="42"/>
        <v>18.595009999999998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">
      <c r="AA210" s="93">
        <v>353561</v>
      </c>
      <c r="AB210" s="93" t="str">
        <f t="shared" si="39"/>
        <v>Ślizgacz 8 mm biały RAL 9010 do listwy końcowej E9</v>
      </c>
      <c r="AC210" s="91">
        <f t="shared" si="43"/>
        <v>8.5023300000000006</v>
      </c>
      <c r="AD210" s="94">
        <f t="shared" si="42"/>
        <v>8.5023300000000006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">
      <c r="Z211">
        <v>20</v>
      </c>
      <c r="AA211" s="90" t="s">
        <v>606</v>
      </c>
      <c r="AB211" s="179" t="str">
        <f>VLOOKUP(AA211,$Z$246:$AJ$508,(1+$AE$1),0)</f>
        <v>Róg list.tor. 90 °  Top/Frame</v>
      </c>
      <c r="AC211" s="91">
        <f t="shared" si="43"/>
        <v>6.6591399999999998</v>
      </c>
      <c r="AD211" s="91">
        <f>VLOOKUP(AA211,$Z$246:$AJ$508,(5+$AE$1),0)</f>
        <v>6.6591399999999998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">
      <c r="Z220">
        <v>18</v>
      </c>
      <c r="AA220" s="90" t="s">
        <v>607</v>
      </c>
      <c r="AB220" s="179" t="str">
        <f>VLOOKUP(AA220,$Z$246:$AJ$508,(1+$AE$1),0)</f>
        <v>Narożnik lis.tor.na wkr. Biały</v>
      </c>
      <c r="AC220" s="91">
        <f t="shared" si="43"/>
        <v>5.8428699999999996</v>
      </c>
      <c r="AD220" s="91">
        <f>VLOOKUP(AA220,$Z$246:$AJ$508,(5+$AE$1),0)</f>
        <v>5.8428699999999996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">
      <c r="Z221">
        <v>15.5</v>
      </c>
      <c r="AA221" s="90" t="s">
        <v>608</v>
      </c>
      <c r="AB221" s="179" t="str">
        <f>VLOOKUP(AA221,$Z$246:$AJ$508,(1+$AE$1),0)</f>
        <v>Róg list.tor.90 °- 8mm czarny</v>
      </c>
      <c r="AC221" s="91">
        <f t="shared" si="43"/>
        <v>5.2317799999999997</v>
      </c>
      <c r="AD221" s="91">
        <f>VLOOKUP(AA221,$Z$246:$AJ$508,(5+$AE$1),0)</f>
        <v>5.2317799999999997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">
      <c r="Z222">
        <v>60</v>
      </c>
      <c r="AA222" s="90" t="s">
        <v>611</v>
      </c>
      <c r="AB222" s="179" t="str">
        <f>VLOOKUP(AA222,$Z$246:$AJ$508,(1+$AE$1),0)</f>
        <v>Profil kryjący Top czereś.Havana</v>
      </c>
      <c r="AC222" s="92">
        <f t="shared" si="43"/>
        <v>19.249739999999999</v>
      </c>
      <c r="AD222" s="91">
        <f>VLOOKUP(AA222,$Z$246:$AJ$508,(5+$AE$1),0)</f>
        <v>19.249739999999999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">
      <c r="Z223">
        <v>60</v>
      </c>
      <c r="AA223" s="90" t="s">
        <v>612</v>
      </c>
      <c r="AB223" s="179" t="str">
        <f>VLOOKUP(AA223,$Z$246:$AJ$508,(1+$AE$1),0)</f>
        <v>Profil kryjący Top calvados</v>
      </c>
      <c r="AC223" s="92">
        <f t="shared" si="43"/>
        <v>19.249739999999999</v>
      </c>
      <c r="AD223" s="91">
        <f>VLOOKUP(AA223,$Z$246:$AJ$508,(5+$AE$1),0)</f>
        <v>19.249739999999999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">
      <c r="Z224">
        <v>150</v>
      </c>
      <c r="AA224" s="90" t="s">
        <v>613</v>
      </c>
      <c r="AB224" s="179" t="str">
        <f>VLOOKUP(AA224,$Z$246:$AJ$508,(1+$AE$1),0)</f>
        <v>Profil kryjący Top 360L</v>
      </c>
      <c r="AC224" s="92">
        <f t="shared" si="43"/>
        <v>91.980369999999994</v>
      </c>
      <c r="AD224" s="91">
        <f>VLOOKUP(AA224,$Z$246:$AJ$508,(5+$AE$1),0)</f>
        <v>91.980369999999994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">
      <c r="Z231">
        <v>655</v>
      </c>
      <c r="AA231" s="90" t="s">
        <v>616</v>
      </c>
      <c r="AB231" s="179" t="str">
        <f t="shared" ref="AB231:AB237" si="44">VLOOKUP(AA231,$Z$246:$AJ$508,(1+$AE$1),0)</f>
        <v>Listwa koń.z uskokiem nierdz 360L</v>
      </c>
      <c r="AC231" s="91" t="e">
        <f t="shared" si="43"/>
        <v>#N/A</v>
      </c>
      <c r="AD231" s="91" t="e">
        <f t="shared" ref="AD231:AD237" si="45">VLOOKUP(AA231,$Z$246:$AJ$508,(5+$AE$1),0)</f>
        <v>#N/A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">
      <c r="Z232">
        <v>480</v>
      </c>
      <c r="AA232" s="90" t="s">
        <v>615</v>
      </c>
      <c r="AB232" s="179" t="str">
        <f t="shared" si="44"/>
        <v>Listwa maskująca (profil L) nierdz 360</v>
      </c>
      <c r="AC232" s="91">
        <f t="shared" si="43"/>
        <v>156.99848</v>
      </c>
      <c r="AD232" s="91">
        <f t="shared" si="45"/>
        <v>156.99848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">
      <c r="Z233">
        <v>325</v>
      </c>
      <c r="AA233" s="90" t="s">
        <v>614</v>
      </c>
      <c r="AB233" s="179" t="str">
        <f t="shared" si="44"/>
        <v>Profil kryjący nierdz 360L</v>
      </c>
      <c r="AC233" s="91">
        <f t="shared" si="43"/>
        <v>115.13282</v>
      </c>
      <c r="AD233" s="91">
        <f t="shared" si="45"/>
        <v>115.13282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">
      <c r="AA234" s="171" t="s">
        <v>1013</v>
      </c>
      <c r="AB234" s="179" t="str">
        <f t="shared" si="44"/>
        <v>Przejście pomiędzy FRAME a mech.C3 czar.</v>
      </c>
      <c r="AC234" s="91">
        <f t="shared" si="43"/>
        <v>7.9179000000000004</v>
      </c>
      <c r="AD234" s="91">
        <f t="shared" si="45"/>
        <v>7.9179000000000004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">
      <c r="AA235" s="171" t="s">
        <v>774</v>
      </c>
      <c r="AB235" s="179" t="str">
        <f t="shared" si="44"/>
        <v>Zaślepka do toru pionow. R92845 prawa</v>
      </c>
      <c r="AC235" s="91">
        <f t="shared" si="43"/>
        <v>3.1188400000000001</v>
      </c>
      <c r="AD235" s="91">
        <f t="shared" si="45"/>
        <v>3.1188400000000001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">
      <c r="AA236" s="171" t="s">
        <v>782</v>
      </c>
      <c r="AB236" s="179" t="str">
        <f t="shared" si="44"/>
        <v>Zaślepka do toru pionow. R92846 lewa</v>
      </c>
      <c r="AC236" s="91">
        <f t="shared" si="43"/>
        <v>3.1188400000000001</v>
      </c>
      <c r="AD236" s="91">
        <f t="shared" si="45"/>
        <v>3.1188400000000001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">
      <c r="AA237" s="90" t="s">
        <v>1195</v>
      </c>
      <c r="AB237" s="179" t="str">
        <f t="shared" si="44"/>
        <v>opłata za przygotowanie żaluzji</v>
      </c>
      <c r="AC237" s="91">
        <f>AD237</f>
        <v>40</v>
      </c>
      <c r="AD237" s="91">
        <f t="shared" si="45"/>
        <v>40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">
      <c r="AA238" s="90" t="s">
        <v>523</v>
      </c>
      <c r="AB238" s="179" t="str">
        <f>VLOOKUP(AA238,$Z$246:$AJ$508,(1+$AE$1),0)</f>
        <v>Taśma klejąca, 50m w rolce</v>
      </c>
      <c r="AC238" s="91">
        <f t="shared" si="43"/>
        <v>167.18084999999999</v>
      </c>
      <c r="AD238" s="91">
        <f>VLOOKUP(AA238,$Z$246:$AJ$508,(5+$AE$1),0)</f>
        <v>167.18084999999999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">
      <c r="AA239" s="90" t="s">
        <v>1334</v>
      </c>
      <c r="AB239" s="179" t="str">
        <f>VLOOKUP(AA239,$Z$246:$AJ$508,(1+$AE$1),0)</f>
        <v>Taśma klejąca do przylepienia żaluzji</v>
      </c>
      <c r="AC239" s="91">
        <f t="shared" si="43"/>
        <v>3.3436300000000001</v>
      </c>
      <c r="AD239" s="91">
        <f>VLOOKUP(AA239,$Z$246:$AJ$508,(5+$AE$1),0)</f>
        <v>3.3436300000000001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KOMP.</v>
      </c>
      <c r="AP241" s="41"/>
    </row>
    <row r="242" spans="26:42" x14ac:dyDescent="0.2">
      <c r="Z242" s="172" t="s">
        <v>1178</v>
      </c>
      <c r="AA242" s="203" t="s">
        <v>924</v>
      </c>
      <c r="AB242" s="204" t="str">
        <f>VLOOKUP(AA242,$Z$246:$AJ$508,(1+$AE$1),0)</f>
        <v>Ogran.20mm do koń.list.ALU Kombi</v>
      </c>
      <c r="AC242" s="92">
        <f>$AB$1*AD242</f>
        <v>0.86263999999999996</v>
      </c>
      <c r="AD242" s="92">
        <f>VLOOKUP(AA242,$Z$246:$AJ$508,(5+$AE$1),0)</f>
        <v>0.86263999999999996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1728</v>
      </c>
      <c r="AO242" s="41" t="str">
        <f>Překlady!A109</f>
        <v>MB</v>
      </c>
      <c r="AP242" s="41"/>
    </row>
    <row r="243" spans="26:42" x14ac:dyDescent="0.2">
      <c r="Z243" s="172" t="s">
        <v>1179</v>
      </c>
      <c r="AA243" s="203" t="s">
        <v>651</v>
      </c>
      <c r="AB243" s="204" t="str">
        <f t="shared" ref="AB243:AB245" si="46">VLOOKUP(AA243,$Z$246:$AJ$508,(1+$AE$1),0)</f>
        <v>Rolet. prof. Metal-line 25mm al. 230L</v>
      </c>
      <c r="AC243" s="92">
        <f t="shared" ref="AC243:AC245" si="47">$AB$1*AD243</f>
        <v>25.11983</v>
      </c>
      <c r="AD243" s="92">
        <f t="shared" ref="AD243:AD245" si="48">VLOOKUP(AA243,$Z$246:$AJ$508,(5+$AE$1),0)</f>
        <v>25.11983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PAR.</v>
      </c>
      <c r="AP243" s="41"/>
    </row>
    <row r="244" spans="26:42" x14ac:dyDescent="0.2">
      <c r="Z244" s="172" t="s">
        <v>1180</v>
      </c>
      <c r="AA244" s="203" t="s">
        <v>653</v>
      </c>
      <c r="AB244" s="204" t="str">
        <f>VLOOKUP(AA244,$Z$246:$AJ$508,(1+$AE$1),0)</f>
        <v>Rolet. prof. Metal-line 25mm nierdz. 360</v>
      </c>
      <c r="AC244" s="92">
        <f t="shared" si="47"/>
        <v>27.054500000000001</v>
      </c>
      <c r="AD244" s="92">
        <f t="shared" si="48"/>
        <v>27.054500000000001</v>
      </c>
      <c r="AK244">
        <v>1</v>
      </c>
      <c r="AM244" s="172" t="s">
        <v>767</v>
      </c>
      <c r="AN244" t="s">
        <v>643</v>
      </c>
      <c r="AO244" t="str">
        <f>Překlady!A111</f>
        <v>SZT.</v>
      </c>
    </row>
    <row r="245" spans="26:42" x14ac:dyDescent="0.2">
      <c r="Z245" s="172" t="s">
        <v>1181</v>
      </c>
      <c r="AA245" s="203" t="s">
        <v>655</v>
      </c>
      <c r="AB245" s="204" t="str">
        <f t="shared" si="46"/>
        <v>Ślizgacz Metallic-line 25mm czarny</v>
      </c>
      <c r="AC245" s="92">
        <f t="shared" si="47"/>
        <v>3.1748099999999999</v>
      </c>
      <c r="AD245" s="92">
        <f t="shared" si="48"/>
        <v>3.1748099999999999</v>
      </c>
      <c r="AK245">
        <v>1</v>
      </c>
      <c r="AM245" s="172" t="s">
        <v>630</v>
      </c>
    </row>
    <row r="246" spans="26:42" ht="15" x14ac:dyDescent="0.25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5" x14ac:dyDescent="0.25">
      <c r="Z247" s="173" t="s">
        <v>627</v>
      </c>
      <c r="AA247" s="175" t="s">
        <v>2357</v>
      </c>
      <c r="AB247" s="174" t="s">
        <v>631</v>
      </c>
      <c r="AC247" s="174" t="s">
        <v>1338</v>
      </c>
      <c r="AD247" s="174" t="s">
        <v>2358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1728</v>
      </c>
      <c r="AJ247" s="174" t="s">
        <v>630</v>
      </c>
      <c r="AK247" s="174" t="str">
        <f t="shared" ref="AK247:AK310" si="49">VLOOKUP(AI247,$AN$241:$AO$244,2,0)</f>
        <v>MB</v>
      </c>
    </row>
    <row r="248" spans="26:42" ht="15" x14ac:dyDescent="0.25">
      <c r="Z248" s="376" t="s">
        <v>633</v>
      </c>
      <c r="AA248" s="175" t="s">
        <v>2359</v>
      </c>
      <c r="AB248" s="174" t="s">
        <v>2360</v>
      </c>
      <c r="AC248" s="174" t="s">
        <v>1339</v>
      </c>
      <c r="AD248" s="174" t="s">
        <v>2361</v>
      </c>
      <c r="AE248" s="242">
        <v>117.94432999999999</v>
      </c>
      <c r="AF248" s="175">
        <v>4.59558</v>
      </c>
      <c r="AG248" s="174">
        <v>24.962689999999998</v>
      </c>
      <c r="AH248" s="175">
        <v>1968.12447</v>
      </c>
      <c r="AI248" s="174" t="s">
        <v>1728</v>
      </c>
      <c r="AJ248" s="174" t="s">
        <v>630</v>
      </c>
      <c r="AK248" s="174" t="str">
        <f t="shared" si="49"/>
        <v>MB</v>
      </c>
    </row>
    <row r="249" spans="26:42" ht="15" x14ac:dyDescent="0.25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2362</v>
      </c>
      <c r="AE249" s="242">
        <v>125.49366999999999</v>
      </c>
      <c r="AF249" s="175">
        <v>4.8896899999999999</v>
      </c>
      <c r="AG249" s="174">
        <v>25.78689</v>
      </c>
      <c r="AH249" s="175">
        <v>2094.0994700000001</v>
      </c>
      <c r="AI249" s="174" t="s">
        <v>1728</v>
      </c>
      <c r="AJ249" s="337" t="s">
        <v>767</v>
      </c>
      <c r="AK249" s="174" t="str">
        <f t="shared" si="49"/>
        <v>MB</v>
      </c>
    </row>
    <row r="250" spans="26:42" ht="15" x14ac:dyDescent="0.25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2363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1728</v>
      </c>
      <c r="AJ250" s="174" t="s">
        <v>630</v>
      </c>
      <c r="AK250" s="174" t="str">
        <f t="shared" si="49"/>
        <v>MB</v>
      </c>
    </row>
    <row r="251" spans="26:42" ht="15" x14ac:dyDescent="0.25">
      <c r="Z251" s="173" t="s">
        <v>641</v>
      </c>
      <c r="AA251" s="175" t="s">
        <v>2364</v>
      </c>
      <c r="AB251" s="174" t="s">
        <v>644</v>
      </c>
      <c r="AC251" s="174" t="s">
        <v>1342</v>
      </c>
      <c r="AD251" s="174" t="s">
        <v>2365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SZT.</v>
      </c>
    </row>
    <row r="252" spans="26:42" ht="15" x14ac:dyDescent="0.25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5" x14ac:dyDescent="0.25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5" x14ac:dyDescent="0.25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5" x14ac:dyDescent="0.25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5" x14ac:dyDescent="0.25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5" x14ac:dyDescent="0.25">
      <c r="Z257" s="173" t="s">
        <v>531</v>
      </c>
      <c r="AA257" s="175" t="s">
        <v>2366</v>
      </c>
      <c r="AB257" s="174" t="s">
        <v>900</v>
      </c>
      <c r="AC257" s="174" t="s">
        <v>1417</v>
      </c>
      <c r="AD257" s="174" t="s">
        <v>2367</v>
      </c>
      <c r="AE257" s="242">
        <v>93.84639</v>
      </c>
      <c r="AF257" s="175">
        <v>3.6566000000000001</v>
      </c>
      <c r="AG257" s="174">
        <v>19.28388</v>
      </c>
      <c r="AH257" s="175">
        <v>1566.0046400000001</v>
      </c>
      <c r="AI257" s="174" t="s">
        <v>1728</v>
      </c>
      <c r="AJ257" s="174" t="s">
        <v>767</v>
      </c>
      <c r="AK257" s="174" t="str">
        <f t="shared" si="49"/>
        <v>MB</v>
      </c>
    </row>
    <row r="258" spans="26:37" ht="15" x14ac:dyDescent="0.25">
      <c r="Z258" s="173" t="s">
        <v>527</v>
      </c>
      <c r="AA258" s="175" t="s">
        <v>2368</v>
      </c>
      <c r="AB258" s="174" t="s">
        <v>953</v>
      </c>
      <c r="AC258" s="174" t="s">
        <v>1435</v>
      </c>
      <c r="AD258" s="174" t="s">
        <v>2369</v>
      </c>
      <c r="AE258" s="242">
        <v>93.84639</v>
      </c>
      <c r="AF258" s="175">
        <v>3.6566000000000001</v>
      </c>
      <c r="AG258" s="174">
        <v>19.28388</v>
      </c>
      <c r="AH258" s="175">
        <v>1566.0046400000001</v>
      </c>
      <c r="AI258" s="174" t="s">
        <v>1728</v>
      </c>
      <c r="AJ258" s="174" t="s">
        <v>767</v>
      </c>
      <c r="AK258" s="174" t="str">
        <f t="shared" si="49"/>
        <v>MB</v>
      </c>
    </row>
    <row r="259" spans="26:37" ht="15" x14ac:dyDescent="0.25">
      <c r="Z259" s="173" t="s">
        <v>534</v>
      </c>
      <c r="AA259" s="175" t="s">
        <v>2370</v>
      </c>
      <c r="AB259" s="174" t="s">
        <v>2371</v>
      </c>
      <c r="AC259" s="174" t="s">
        <v>1411</v>
      </c>
      <c r="AD259" s="174" t="s">
        <v>2372</v>
      </c>
      <c r="AE259" s="242">
        <v>93.84639</v>
      </c>
      <c r="AF259" s="175">
        <v>3.6566000000000001</v>
      </c>
      <c r="AG259" s="174">
        <v>19.28388</v>
      </c>
      <c r="AH259" s="175">
        <v>1566.0046400000001</v>
      </c>
      <c r="AI259" s="174" t="s">
        <v>1728</v>
      </c>
      <c r="AJ259" s="174" t="s">
        <v>767</v>
      </c>
      <c r="AK259" s="174" t="str">
        <f t="shared" si="49"/>
        <v>MB</v>
      </c>
    </row>
    <row r="260" spans="26:37" ht="15" x14ac:dyDescent="0.25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2373</v>
      </c>
      <c r="AE260" s="242">
        <v>102.64594</v>
      </c>
      <c r="AF260" s="175">
        <v>3.9994999999999998</v>
      </c>
      <c r="AG260" s="174">
        <v>21.09207</v>
      </c>
      <c r="AH260" s="175">
        <v>1712.84178</v>
      </c>
      <c r="AI260" s="174" t="s">
        <v>1728</v>
      </c>
      <c r="AJ260" s="174" t="s">
        <v>767</v>
      </c>
      <c r="AK260" s="174" t="str">
        <f t="shared" si="49"/>
        <v>MB</v>
      </c>
    </row>
    <row r="261" spans="26:37" ht="15" x14ac:dyDescent="0.25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2374</v>
      </c>
      <c r="AE261" s="242">
        <v>102.64594</v>
      </c>
      <c r="AF261" s="175">
        <v>3.9994999999999998</v>
      </c>
      <c r="AG261" s="174">
        <v>21.09207</v>
      </c>
      <c r="AH261" s="175">
        <v>1712.84178</v>
      </c>
      <c r="AI261" s="174" t="s">
        <v>1728</v>
      </c>
      <c r="AJ261" s="174" t="s">
        <v>767</v>
      </c>
      <c r="AK261" s="174" t="str">
        <f t="shared" si="49"/>
        <v>MB</v>
      </c>
    </row>
    <row r="262" spans="26:37" ht="15" x14ac:dyDescent="0.25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2375</v>
      </c>
      <c r="AE262" s="242">
        <v>102.64594</v>
      </c>
      <c r="AF262" s="175">
        <v>3.9994999999999998</v>
      </c>
      <c r="AG262" s="174">
        <v>21.09207</v>
      </c>
      <c r="AH262" s="175">
        <v>1712.84178</v>
      </c>
      <c r="AI262" s="174" t="s">
        <v>1728</v>
      </c>
      <c r="AJ262" s="174" t="s">
        <v>767</v>
      </c>
      <c r="AK262" s="174" t="str">
        <f t="shared" si="49"/>
        <v>MB</v>
      </c>
    </row>
    <row r="263" spans="26:37" ht="15" x14ac:dyDescent="0.25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2376</v>
      </c>
      <c r="AE263" s="242">
        <v>102.64594</v>
      </c>
      <c r="AF263" s="175">
        <v>3.9994999999999998</v>
      </c>
      <c r="AG263" s="174">
        <v>21.09207</v>
      </c>
      <c r="AH263" s="175">
        <v>1712.84178</v>
      </c>
      <c r="AI263" s="174" t="s">
        <v>1728</v>
      </c>
      <c r="AJ263" s="174" t="s">
        <v>767</v>
      </c>
      <c r="AK263" s="174" t="str">
        <f t="shared" si="49"/>
        <v>MB</v>
      </c>
    </row>
    <row r="264" spans="26:37" ht="15" x14ac:dyDescent="0.25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2377</v>
      </c>
      <c r="AE264" s="242">
        <v>102.64594</v>
      </c>
      <c r="AF264" s="175">
        <v>3.9994999999999998</v>
      </c>
      <c r="AG264" s="174">
        <v>21.09207</v>
      </c>
      <c r="AH264" s="175">
        <v>1712.84178</v>
      </c>
      <c r="AI264" s="174" t="s">
        <v>1728</v>
      </c>
      <c r="AJ264" s="174" t="s">
        <v>767</v>
      </c>
      <c r="AK264" s="174" t="str">
        <f t="shared" si="49"/>
        <v>MB</v>
      </c>
    </row>
    <row r="265" spans="26:37" ht="15" x14ac:dyDescent="0.25">
      <c r="Z265" s="173" t="s">
        <v>535</v>
      </c>
      <c r="AA265" s="175" t="s">
        <v>2378</v>
      </c>
      <c r="AB265" s="174" t="s">
        <v>819</v>
      </c>
      <c r="AC265" s="174" t="s">
        <v>1386</v>
      </c>
      <c r="AD265" s="174" t="s">
        <v>2379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1728</v>
      </c>
      <c r="AJ265" s="174" t="s">
        <v>767</v>
      </c>
      <c r="AK265" s="174" t="str">
        <f t="shared" si="49"/>
        <v>MB</v>
      </c>
    </row>
    <row r="266" spans="26:37" ht="15" x14ac:dyDescent="0.25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2380</v>
      </c>
      <c r="AE266" s="242">
        <v>78.861930000000001</v>
      </c>
      <c r="AF266" s="175">
        <v>3.1956699999999998</v>
      </c>
      <c r="AG266" s="174">
        <v>16.690989999999999</v>
      </c>
      <c r="AH266" s="175">
        <v>1315.9606000000001</v>
      </c>
      <c r="AI266" s="174" t="s">
        <v>1728</v>
      </c>
      <c r="AJ266" s="174" t="s">
        <v>767</v>
      </c>
      <c r="AK266" s="174" t="str">
        <f t="shared" si="49"/>
        <v>MB</v>
      </c>
    </row>
    <row r="267" spans="26:37" ht="15" x14ac:dyDescent="0.25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5" x14ac:dyDescent="0.25">
      <c r="Z268" s="173" t="s">
        <v>524</v>
      </c>
      <c r="AA268" s="175" t="s">
        <v>2381</v>
      </c>
      <c r="AB268" s="174" t="s">
        <v>2382</v>
      </c>
      <c r="AC268" s="174" t="s">
        <v>1438</v>
      </c>
      <c r="AD268" s="174" t="s">
        <v>2383</v>
      </c>
      <c r="AE268" s="242">
        <v>96.162379999999999</v>
      </c>
      <c r="AF268" s="175">
        <v>3.7468699999999999</v>
      </c>
      <c r="AG268" s="174">
        <v>19.759789999999999</v>
      </c>
      <c r="AH268" s="175">
        <v>1604.6512700000001</v>
      </c>
      <c r="AI268" s="174" t="s">
        <v>1728</v>
      </c>
      <c r="AJ268" s="174" t="s">
        <v>767</v>
      </c>
      <c r="AK268" s="174" t="str">
        <f t="shared" si="49"/>
        <v>MB</v>
      </c>
    </row>
    <row r="269" spans="26:37" ht="15" x14ac:dyDescent="0.25">
      <c r="Z269" s="173" t="s">
        <v>525</v>
      </c>
      <c r="AA269" s="175" t="s">
        <v>2384</v>
      </c>
      <c r="AB269" s="174" t="s">
        <v>2385</v>
      </c>
      <c r="AC269" s="174" t="s">
        <v>1406</v>
      </c>
      <c r="AD269" s="174" t="s">
        <v>2386</v>
      </c>
      <c r="AE269" s="242">
        <v>97.706559999999996</v>
      </c>
      <c r="AF269" s="175">
        <v>3.8070300000000001</v>
      </c>
      <c r="AG269" s="174">
        <v>20.679410000000001</v>
      </c>
      <c r="AH269" s="175">
        <v>1630.4189699999999</v>
      </c>
      <c r="AI269" s="174" t="s">
        <v>1728</v>
      </c>
      <c r="AJ269" s="174" t="s">
        <v>767</v>
      </c>
      <c r="AK269" s="174" t="str">
        <f t="shared" si="49"/>
        <v>MB</v>
      </c>
    </row>
    <row r="270" spans="26:37" ht="15" x14ac:dyDescent="0.25">
      <c r="Z270" s="173" t="s">
        <v>451</v>
      </c>
      <c r="AA270" s="175" t="s">
        <v>2387</v>
      </c>
      <c r="AB270" s="174" t="s">
        <v>962</v>
      </c>
      <c r="AC270" s="174" t="s">
        <v>1439</v>
      </c>
      <c r="AD270" s="174" t="s">
        <v>2388</v>
      </c>
      <c r="AE270" s="242">
        <v>2.9326500000000002</v>
      </c>
      <c r="AF270" s="175">
        <v>0.11428000000000001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SZT.</v>
      </c>
    </row>
    <row r="271" spans="26:37" ht="15" x14ac:dyDescent="0.25">
      <c r="Z271" s="173" t="s">
        <v>651</v>
      </c>
      <c r="AA271" s="175" t="s">
        <v>2389</v>
      </c>
      <c r="AB271" s="174" t="s">
        <v>2390</v>
      </c>
      <c r="AC271" s="174" t="s">
        <v>1343</v>
      </c>
      <c r="AD271" s="174" t="s">
        <v>2391</v>
      </c>
      <c r="AE271" s="242">
        <v>122.24733999999999</v>
      </c>
      <c r="AF271" s="175">
        <v>4.7632599999999998</v>
      </c>
      <c r="AG271" s="174">
        <v>25.11983</v>
      </c>
      <c r="AH271" s="175">
        <v>2039.9282800000001</v>
      </c>
      <c r="AI271" s="174" t="s">
        <v>1728</v>
      </c>
      <c r="AJ271" s="174" t="s">
        <v>767</v>
      </c>
      <c r="AK271" s="174" t="str">
        <f t="shared" si="49"/>
        <v>MB</v>
      </c>
    </row>
    <row r="272" spans="26:37" s="169" customFormat="1" ht="15" x14ac:dyDescent="0.25">
      <c r="Z272" s="377" t="s">
        <v>653</v>
      </c>
      <c r="AA272" s="378" t="s">
        <v>2392</v>
      </c>
      <c r="AB272" s="378" t="s">
        <v>2393</v>
      </c>
      <c r="AC272" s="378" t="s">
        <v>1344</v>
      </c>
      <c r="AD272" s="378" t="s">
        <v>2394</v>
      </c>
      <c r="AE272" s="379">
        <v>131.66248999999999</v>
      </c>
      <c r="AF272" s="378">
        <v>5.13009</v>
      </c>
      <c r="AG272" s="378">
        <v>27.054500000000001</v>
      </c>
      <c r="AH272" s="378">
        <v>2197.03782</v>
      </c>
      <c r="AI272" s="378" t="s">
        <v>1728</v>
      </c>
      <c r="AJ272" s="378" t="s">
        <v>767</v>
      </c>
      <c r="AK272" s="378" t="str">
        <f t="shared" si="49"/>
        <v>MB</v>
      </c>
    </row>
    <row r="273" spans="26:37" ht="15" x14ac:dyDescent="0.25">
      <c r="Z273" s="173" t="s">
        <v>655</v>
      </c>
      <c r="AA273" s="175" t="s">
        <v>2395</v>
      </c>
      <c r="AB273" s="174" t="s">
        <v>658</v>
      </c>
      <c r="AC273" s="174" t="s">
        <v>1345</v>
      </c>
      <c r="AD273" s="174" t="s">
        <v>2396</v>
      </c>
      <c r="AE273" s="242">
        <v>15.450419999999999</v>
      </c>
      <c r="AF273" s="175">
        <v>0.60201000000000005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PAR.</v>
      </c>
    </row>
    <row r="274" spans="26:37" ht="15" x14ac:dyDescent="0.25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2397</v>
      </c>
      <c r="AE274" s="242">
        <v>47.399090000000001</v>
      </c>
      <c r="AF274" s="175">
        <v>1.8469199999999999</v>
      </c>
      <c r="AG274" s="174">
        <v>9.7397399999999994</v>
      </c>
      <c r="AH274" s="175">
        <v>790.94340999999997</v>
      </c>
      <c r="AI274" s="174" t="s">
        <v>1728</v>
      </c>
      <c r="AJ274" s="174" t="s">
        <v>767</v>
      </c>
      <c r="AK274" s="174" t="str">
        <f t="shared" si="49"/>
        <v>MB</v>
      </c>
    </row>
    <row r="275" spans="26:37" ht="15" x14ac:dyDescent="0.25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2398</v>
      </c>
      <c r="AE275" s="242">
        <v>47.400689999999997</v>
      </c>
      <c r="AF275" s="175">
        <v>1.8469199999999999</v>
      </c>
      <c r="AG275" s="174">
        <v>9.7400800000000007</v>
      </c>
      <c r="AH275" s="175">
        <v>790.97032000000002</v>
      </c>
      <c r="AI275" s="174" t="s">
        <v>1728</v>
      </c>
      <c r="AJ275" s="174" t="s">
        <v>767</v>
      </c>
      <c r="AK275" s="174" t="str">
        <f t="shared" si="49"/>
        <v>MB</v>
      </c>
    </row>
    <row r="276" spans="26:37" ht="15" x14ac:dyDescent="0.25">
      <c r="Z276" s="173" t="s">
        <v>583</v>
      </c>
      <c r="AA276" s="175" t="s">
        <v>805</v>
      </c>
      <c r="AB276" s="174" t="s">
        <v>2399</v>
      </c>
      <c r="AC276" s="174" t="s">
        <v>1382</v>
      </c>
      <c r="AD276" s="174" t="s">
        <v>2400</v>
      </c>
      <c r="AE276" s="242">
        <v>47.399090000000001</v>
      </c>
      <c r="AF276" s="175">
        <v>1.8469199999999999</v>
      </c>
      <c r="AG276" s="174">
        <v>9.7397399999999994</v>
      </c>
      <c r="AH276" s="175">
        <v>790.94340999999997</v>
      </c>
      <c r="AI276" s="174" t="s">
        <v>1728</v>
      </c>
      <c r="AJ276" s="174" t="s">
        <v>767</v>
      </c>
      <c r="AK276" s="174" t="str">
        <f t="shared" si="49"/>
        <v>MB</v>
      </c>
    </row>
    <row r="277" spans="26:37" ht="15" x14ac:dyDescent="0.25">
      <c r="Z277" s="173" t="s">
        <v>577</v>
      </c>
      <c r="AA277" s="175" t="s">
        <v>2401</v>
      </c>
      <c r="AB277" s="174" t="s">
        <v>876</v>
      </c>
      <c r="AC277" s="174" t="s">
        <v>1408</v>
      </c>
      <c r="AD277" s="174" t="s">
        <v>2402</v>
      </c>
      <c r="AE277" s="242">
        <v>47.399090000000001</v>
      </c>
      <c r="AF277" s="175">
        <v>1.8469199999999999</v>
      </c>
      <c r="AG277" s="174">
        <v>9.7397399999999994</v>
      </c>
      <c r="AH277" s="175">
        <v>790.94340999999997</v>
      </c>
      <c r="AI277" s="174" t="s">
        <v>1728</v>
      </c>
      <c r="AJ277" s="174" t="s">
        <v>767</v>
      </c>
      <c r="AK277" s="174" t="str">
        <f t="shared" si="49"/>
        <v>MB</v>
      </c>
    </row>
    <row r="278" spans="26:37" ht="15" x14ac:dyDescent="0.25">
      <c r="Z278" s="173" t="s">
        <v>1155</v>
      </c>
      <c r="AA278" s="175" t="s">
        <v>2403</v>
      </c>
      <c r="AB278" s="174" t="s">
        <v>2404</v>
      </c>
      <c r="AC278" s="174" t="s">
        <v>1510</v>
      </c>
      <c r="AD278" s="174" t="s">
        <v>2405</v>
      </c>
      <c r="AE278" s="242">
        <v>100.34442</v>
      </c>
      <c r="AF278" s="175">
        <v>3.9097400000000002</v>
      </c>
      <c r="AG278" s="174">
        <v>20.619140000000002</v>
      </c>
      <c r="AH278" s="175">
        <v>1674.4366399999999</v>
      </c>
      <c r="AI278" s="174" t="s">
        <v>1728</v>
      </c>
      <c r="AJ278" s="174" t="s">
        <v>767</v>
      </c>
      <c r="AK278" s="174" t="str">
        <f t="shared" si="49"/>
        <v>MB</v>
      </c>
    </row>
    <row r="279" spans="26:37" ht="15" x14ac:dyDescent="0.25">
      <c r="Z279" s="173" t="s">
        <v>1158</v>
      </c>
      <c r="AA279" s="175" t="s">
        <v>2406</v>
      </c>
      <c r="AB279" s="174" t="s">
        <v>2407</v>
      </c>
      <c r="AC279" s="174" t="s">
        <v>1511</v>
      </c>
      <c r="AD279" s="174" t="s">
        <v>2408</v>
      </c>
      <c r="AE279" s="242">
        <v>100.34442</v>
      </c>
      <c r="AF279" s="175">
        <v>3.9097400000000002</v>
      </c>
      <c r="AG279" s="174">
        <v>20.619140000000002</v>
      </c>
      <c r="AH279" s="175">
        <v>1674.4366399999999</v>
      </c>
      <c r="AI279" s="174" t="s">
        <v>1728</v>
      </c>
      <c r="AJ279" s="174" t="s">
        <v>767</v>
      </c>
      <c r="AK279" s="174" t="str">
        <f t="shared" si="49"/>
        <v>MB</v>
      </c>
    </row>
    <row r="280" spans="26:37" ht="15" x14ac:dyDescent="0.25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2409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1728</v>
      </c>
      <c r="AJ280" s="174" t="s">
        <v>630</v>
      </c>
      <c r="AK280" s="174" t="str">
        <f t="shared" si="49"/>
        <v>MB</v>
      </c>
    </row>
    <row r="281" spans="26:37" ht="15" x14ac:dyDescent="0.25">
      <c r="Z281" s="173" t="s">
        <v>663</v>
      </c>
      <c r="AA281" s="175" t="s">
        <v>664</v>
      </c>
      <c r="AB281" s="174" t="s">
        <v>2410</v>
      </c>
      <c r="AC281" s="174" t="s">
        <v>1347</v>
      </c>
      <c r="AD281" s="174" t="s">
        <v>2411</v>
      </c>
      <c r="AE281" s="242">
        <v>60.319070000000004</v>
      </c>
      <c r="AF281" s="175">
        <v>2.3502800000000001</v>
      </c>
      <c r="AG281" s="174">
        <v>12.394579999999999</v>
      </c>
      <c r="AH281" s="175">
        <v>1006.53773</v>
      </c>
      <c r="AI281" s="174" t="s">
        <v>1728</v>
      </c>
      <c r="AJ281" s="337" t="s">
        <v>767</v>
      </c>
      <c r="AK281" s="174" t="str">
        <f t="shared" si="49"/>
        <v>MB</v>
      </c>
    </row>
    <row r="282" spans="26:37" ht="15" x14ac:dyDescent="0.25">
      <c r="Z282" s="173" t="s">
        <v>559</v>
      </c>
      <c r="AA282" s="175" t="s">
        <v>2412</v>
      </c>
      <c r="AB282" s="174" t="s">
        <v>667</v>
      </c>
      <c r="AC282" s="174" t="s">
        <v>1348</v>
      </c>
      <c r="AD282" s="174" t="s">
        <v>2413</v>
      </c>
      <c r="AE282" s="242">
        <v>11.981389999999999</v>
      </c>
      <c r="AF282" s="175">
        <v>0.46694999999999998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SZT.</v>
      </c>
    </row>
    <row r="283" spans="26:37" ht="15" x14ac:dyDescent="0.25">
      <c r="Z283" s="173" t="s">
        <v>558</v>
      </c>
      <c r="AA283" s="175" t="s">
        <v>2414</v>
      </c>
      <c r="AB283" s="174" t="s">
        <v>669</v>
      </c>
      <c r="AC283" s="174" t="s">
        <v>1349</v>
      </c>
      <c r="AD283" s="174" t="s">
        <v>2415</v>
      </c>
      <c r="AE283" s="242">
        <v>11.981389999999999</v>
      </c>
      <c r="AF283" s="175">
        <v>0.46694999999999998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SZT.</v>
      </c>
    </row>
    <row r="284" spans="26:37" ht="15" x14ac:dyDescent="0.25">
      <c r="Z284" s="173" t="s">
        <v>561</v>
      </c>
      <c r="AA284" s="175" t="s">
        <v>2416</v>
      </c>
      <c r="AB284" s="174" t="s">
        <v>2417</v>
      </c>
      <c r="AC284" s="174" t="s">
        <v>1350</v>
      </c>
      <c r="AD284" s="174" t="s">
        <v>2418</v>
      </c>
      <c r="AE284" s="242">
        <v>11.981389999999999</v>
      </c>
      <c r="AF284" s="175">
        <v>0.46694999999999998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SZT.</v>
      </c>
    </row>
    <row r="285" spans="26:37" ht="15" x14ac:dyDescent="0.25">
      <c r="Z285" s="173" t="s">
        <v>560</v>
      </c>
      <c r="AA285" s="175" t="s">
        <v>2419</v>
      </c>
      <c r="AB285" s="174" t="s">
        <v>673</v>
      </c>
      <c r="AC285" s="174" t="s">
        <v>1351</v>
      </c>
      <c r="AD285" s="174" t="s">
        <v>2420</v>
      </c>
      <c r="AE285" s="242">
        <v>11.981389999999999</v>
      </c>
      <c r="AF285" s="175">
        <v>0.46694999999999998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SZT.</v>
      </c>
    </row>
    <row r="286" spans="26:37" ht="15" x14ac:dyDescent="0.25">
      <c r="Z286" s="173" t="s">
        <v>674</v>
      </c>
      <c r="AA286" s="175" t="s">
        <v>2421</v>
      </c>
      <c r="AB286" s="174" t="s">
        <v>676</v>
      </c>
      <c r="AC286" s="174" t="s">
        <v>1352</v>
      </c>
      <c r="AD286" s="174" t="s">
        <v>2422</v>
      </c>
      <c r="AE286" s="242">
        <v>11.981389999999999</v>
      </c>
      <c r="AF286" s="175">
        <v>0.46694999999999998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SZT.</v>
      </c>
    </row>
    <row r="287" spans="26:37" ht="15" x14ac:dyDescent="0.25">
      <c r="Z287" s="173" t="s">
        <v>677</v>
      </c>
      <c r="AA287" s="175" t="s">
        <v>2423</v>
      </c>
      <c r="AB287" s="174" t="s">
        <v>2424</v>
      </c>
      <c r="AC287" s="174" t="s">
        <v>1353</v>
      </c>
      <c r="AD287" s="174" t="s">
        <v>2425</v>
      </c>
      <c r="AE287" s="242">
        <v>11.981389999999999</v>
      </c>
      <c r="AF287" s="175">
        <v>0.46694999999999998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SZT.</v>
      </c>
    </row>
    <row r="288" spans="26:37" ht="15" x14ac:dyDescent="0.25">
      <c r="Z288" s="173" t="s">
        <v>608</v>
      </c>
      <c r="AA288" s="175" t="s">
        <v>2426</v>
      </c>
      <c r="AB288" s="174" t="s">
        <v>2427</v>
      </c>
      <c r="AC288" s="174" t="s">
        <v>1436</v>
      </c>
      <c r="AD288" s="174" t="s">
        <v>2428</v>
      </c>
      <c r="AE288" s="242">
        <v>25.460799999999999</v>
      </c>
      <c r="AF288" s="175">
        <v>0.99212999999999996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SZT.</v>
      </c>
    </row>
    <row r="289" spans="26:37" ht="15" x14ac:dyDescent="0.25">
      <c r="Z289" s="173" t="s">
        <v>538</v>
      </c>
      <c r="AA289" s="175" t="s">
        <v>2429</v>
      </c>
      <c r="AB289" s="174" t="s">
        <v>2430</v>
      </c>
      <c r="AC289" s="174" t="s">
        <v>1415</v>
      </c>
      <c r="AD289" s="174" t="s">
        <v>2431</v>
      </c>
      <c r="AE289" s="242">
        <v>25.460799999999999</v>
      </c>
      <c r="AF289" s="175">
        <v>0.99212999999999996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SZT.</v>
      </c>
    </row>
    <row r="290" spans="26:37" ht="15" x14ac:dyDescent="0.25">
      <c r="Z290" s="173" t="s">
        <v>547</v>
      </c>
      <c r="AA290" s="175" t="s">
        <v>2432</v>
      </c>
      <c r="AB290" s="174" t="s">
        <v>2433</v>
      </c>
      <c r="AC290" s="174" t="s">
        <v>1383</v>
      </c>
      <c r="AD290" s="174" t="s">
        <v>2434</v>
      </c>
      <c r="AE290" s="242">
        <v>25.460799999999999</v>
      </c>
      <c r="AF290" s="175">
        <v>0.99212999999999996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SZT.</v>
      </c>
    </row>
    <row r="291" spans="26:37" ht="15" x14ac:dyDescent="0.25">
      <c r="Z291" s="173" t="s">
        <v>540</v>
      </c>
      <c r="AA291" s="175" t="s">
        <v>2435</v>
      </c>
      <c r="AB291" s="174" t="s">
        <v>879</v>
      </c>
      <c r="AC291" s="174" t="s">
        <v>1409</v>
      </c>
      <c r="AD291" s="174" t="s">
        <v>2436</v>
      </c>
      <c r="AE291" s="242">
        <v>25.460799999999999</v>
      </c>
      <c r="AF291" s="175">
        <v>0.99212999999999996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SZT.</v>
      </c>
    </row>
    <row r="292" spans="26:37" ht="15" x14ac:dyDescent="0.25">
      <c r="Z292" s="173" t="s">
        <v>680</v>
      </c>
      <c r="AA292" s="175" t="s">
        <v>2437</v>
      </c>
      <c r="AB292" s="174" t="s">
        <v>2438</v>
      </c>
      <c r="AC292" s="174" t="s">
        <v>1354</v>
      </c>
      <c r="AD292" s="174" t="s">
        <v>2439</v>
      </c>
      <c r="AE292" s="242">
        <v>24.71922</v>
      </c>
      <c r="AF292" s="175">
        <v>0.96323000000000003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SZT.</v>
      </c>
    </row>
    <row r="293" spans="26:37" ht="15" x14ac:dyDescent="0.25">
      <c r="Z293" s="173" t="s">
        <v>684</v>
      </c>
      <c r="AA293" s="175" t="s">
        <v>2440</v>
      </c>
      <c r="AB293" s="174" t="s">
        <v>2441</v>
      </c>
      <c r="AC293" s="174" t="s">
        <v>1355</v>
      </c>
      <c r="AD293" s="174" t="s">
        <v>2442</v>
      </c>
      <c r="AE293" s="242">
        <v>25.460799999999999</v>
      </c>
      <c r="AF293" s="175">
        <v>0.99212999999999996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SZT.</v>
      </c>
    </row>
    <row r="294" spans="26:37" ht="15" x14ac:dyDescent="0.25">
      <c r="Z294" s="307" t="s">
        <v>588</v>
      </c>
      <c r="AA294" s="175" t="s">
        <v>2443</v>
      </c>
      <c r="AB294" s="174" t="s">
        <v>1098</v>
      </c>
      <c r="AC294" s="174" t="s">
        <v>1483</v>
      </c>
      <c r="AD294" s="174" t="s">
        <v>2444</v>
      </c>
      <c r="AE294" s="242">
        <v>148.93612999999999</v>
      </c>
      <c r="AF294" s="175">
        <v>5.8030999999999997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PAR.</v>
      </c>
    </row>
    <row r="295" spans="26:37" ht="15" x14ac:dyDescent="0.25">
      <c r="Z295" s="173" t="s">
        <v>586</v>
      </c>
      <c r="AA295" s="175" t="s">
        <v>2445</v>
      </c>
      <c r="AB295" s="174" t="s">
        <v>1101</v>
      </c>
      <c r="AC295" s="174" t="s">
        <v>1484</v>
      </c>
      <c r="AD295" s="174" t="s">
        <v>2446</v>
      </c>
      <c r="AE295" s="242">
        <v>199.13325</v>
      </c>
      <c r="AF295" s="175">
        <v>7.7590700000000004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PAR.</v>
      </c>
    </row>
    <row r="296" spans="26:37" ht="15" x14ac:dyDescent="0.25">
      <c r="Z296" s="173" t="s">
        <v>587</v>
      </c>
      <c r="AA296" s="175" t="s">
        <v>2447</v>
      </c>
      <c r="AB296" s="174" t="s">
        <v>1105</v>
      </c>
      <c r="AC296" s="174" t="s">
        <v>1488</v>
      </c>
      <c r="AD296" s="174" t="s">
        <v>2448</v>
      </c>
      <c r="AE296" s="242">
        <v>199.13325</v>
      </c>
      <c r="AF296" s="175">
        <v>7.7590700000000004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PAR.</v>
      </c>
    </row>
    <row r="297" spans="26:37" ht="15" x14ac:dyDescent="0.25">
      <c r="Z297" s="173" t="s">
        <v>589</v>
      </c>
      <c r="AA297" s="175" t="s">
        <v>2449</v>
      </c>
      <c r="AB297" s="174" t="s">
        <v>2450</v>
      </c>
      <c r="AC297" s="174" t="s">
        <v>1447</v>
      </c>
      <c r="AD297" s="174" t="s">
        <v>2451</v>
      </c>
      <c r="AE297" s="242">
        <v>246.95061999999999</v>
      </c>
      <c r="AF297" s="175">
        <v>9.6219699999999992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PAR.</v>
      </c>
    </row>
    <row r="298" spans="26:37" ht="15" x14ac:dyDescent="0.25">
      <c r="Z298" s="173" t="s">
        <v>687</v>
      </c>
      <c r="AA298" s="175" t="s">
        <v>2452</v>
      </c>
      <c r="AB298" s="174" t="s">
        <v>2453</v>
      </c>
      <c r="AC298" s="174" t="s">
        <v>1356</v>
      </c>
      <c r="AD298" s="174" t="s">
        <v>2454</v>
      </c>
      <c r="AE298" s="242">
        <v>145.36139</v>
      </c>
      <c r="AF298" s="175">
        <v>5.6639299999999997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PAR.</v>
      </c>
    </row>
    <row r="299" spans="26:37" ht="15" x14ac:dyDescent="0.25">
      <c r="Z299" s="173" t="s">
        <v>691</v>
      </c>
      <c r="AA299" s="175" t="s">
        <v>2455</v>
      </c>
      <c r="AB299" s="174" t="s">
        <v>2456</v>
      </c>
      <c r="AC299" s="174" t="s">
        <v>1357</v>
      </c>
      <c r="AD299" s="174" t="s">
        <v>2457</v>
      </c>
      <c r="AE299" s="242">
        <v>185.04926</v>
      </c>
      <c r="AF299" s="175">
        <v>7.2103200000000003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PAR.</v>
      </c>
    </row>
    <row r="300" spans="26:37" ht="15" x14ac:dyDescent="0.25">
      <c r="Z300" s="173" t="s">
        <v>585</v>
      </c>
      <c r="AA300" s="175" t="s">
        <v>2458</v>
      </c>
      <c r="AB300" s="174" t="s">
        <v>1065</v>
      </c>
      <c r="AC300" s="174" t="s">
        <v>1470</v>
      </c>
      <c r="AD300" s="174" t="s">
        <v>2459</v>
      </c>
      <c r="AE300" s="242">
        <v>319.50430999999998</v>
      </c>
      <c r="AF300" s="175">
        <v>12.44899</v>
      </c>
      <c r="AG300" s="174">
        <v>65.652900000000002</v>
      </c>
      <c r="AH300" s="175">
        <v>5331.5343800000001</v>
      </c>
      <c r="AI300" s="174" t="s">
        <v>1728</v>
      </c>
      <c r="AJ300" s="174" t="s">
        <v>767</v>
      </c>
      <c r="AK300" s="174" t="str">
        <f t="shared" si="49"/>
        <v>MB</v>
      </c>
    </row>
    <row r="301" spans="26:37" ht="15" x14ac:dyDescent="0.25">
      <c r="Z301" s="173" t="s">
        <v>501</v>
      </c>
      <c r="AA301" s="175" t="s">
        <v>2460</v>
      </c>
      <c r="AB301" s="174" t="s">
        <v>1046</v>
      </c>
      <c r="AC301" s="174" t="s">
        <v>1461</v>
      </c>
      <c r="AD301" s="174" t="s">
        <v>1752</v>
      </c>
      <c r="AE301" s="242">
        <v>90.493849999999995</v>
      </c>
      <c r="AF301" s="175">
        <v>3.5257399999999999</v>
      </c>
      <c r="AG301" s="174">
        <v>18.595009999999998</v>
      </c>
      <c r="AH301" s="175">
        <v>1510.06134</v>
      </c>
      <c r="AI301" s="174" t="s">
        <v>1728</v>
      </c>
      <c r="AJ301" s="174" t="s">
        <v>767</v>
      </c>
      <c r="AK301" s="174" t="str">
        <f t="shared" si="49"/>
        <v>MB</v>
      </c>
    </row>
    <row r="302" spans="26:37" ht="15" x14ac:dyDescent="0.25">
      <c r="Z302" s="173" t="s">
        <v>498</v>
      </c>
      <c r="AA302" s="175" t="s">
        <v>2461</v>
      </c>
      <c r="AB302" s="174" t="s">
        <v>1048</v>
      </c>
      <c r="AC302" s="174" t="s">
        <v>1462</v>
      </c>
      <c r="AD302" s="174" t="s">
        <v>2462</v>
      </c>
      <c r="AE302" s="242">
        <v>90.493849999999995</v>
      </c>
      <c r="AF302" s="175">
        <v>3.5257399999999999</v>
      </c>
      <c r="AG302" s="174">
        <v>18.595009999999998</v>
      </c>
      <c r="AH302" s="175">
        <v>1510.06134</v>
      </c>
      <c r="AI302" s="174" t="s">
        <v>1728</v>
      </c>
      <c r="AJ302" s="174" t="s">
        <v>767</v>
      </c>
      <c r="AK302" s="174" t="str">
        <f t="shared" si="49"/>
        <v>MB</v>
      </c>
    </row>
    <row r="303" spans="26:37" ht="15" x14ac:dyDescent="0.25">
      <c r="Z303" s="173" t="s">
        <v>505</v>
      </c>
      <c r="AA303" s="175" t="s">
        <v>2463</v>
      </c>
      <c r="AB303" s="174" t="s">
        <v>2464</v>
      </c>
      <c r="AC303" s="174" t="s">
        <v>1463</v>
      </c>
      <c r="AD303" s="174" t="s">
        <v>2465</v>
      </c>
      <c r="AE303" s="242">
        <v>90.493849999999995</v>
      </c>
      <c r="AF303" s="175">
        <v>3.5257399999999999</v>
      </c>
      <c r="AG303" s="174">
        <v>18.595009999999998</v>
      </c>
      <c r="AH303" s="175">
        <v>1510.06134</v>
      </c>
      <c r="AI303" s="174" t="s">
        <v>1728</v>
      </c>
      <c r="AJ303" s="174" t="s">
        <v>767</v>
      </c>
      <c r="AK303" s="174" t="str">
        <f t="shared" si="49"/>
        <v>MB</v>
      </c>
    </row>
    <row r="304" spans="26:37" ht="15" x14ac:dyDescent="0.25">
      <c r="Z304" s="173" t="s">
        <v>503</v>
      </c>
      <c r="AA304" s="175" t="s">
        <v>2466</v>
      </c>
      <c r="AB304" s="174" t="s">
        <v>2466</v>
      </c>
      <c r="AC304" s="174" t="s">
        <v>1464</v>
      </c>
      <c r="AD304" s="174" t="s">
        <v>2467</v>
      </c>
      <c r="AE304" s="242">
        <v>118.38861</v>
      </c>
      <c r="AF304" s="175">
        <v>4.6128999999999998</v>
      </c>
      <c r="AG304" s="174">
        <v>24.326920000000001</v>
      </c>
      <c r="AH304" s="175">
        <v>1975.53809</v>
      </c>
      <c r="AI304" s="174" t="s">
        <v>1728</v>
      </c>
      <c r="AJ304" s="174" t="s">
        <v>767</v>
      </c>
      <c r="AK304" s="174" t="str">
        <f t="shared" si="49"/>
        <v>MB</v>
      </c>
    </row>
    <row r="305" spans="26:37" ht="15" x14ac:dyDescent="0.25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2468</v>
      </c>
      <c r="AE305" s="242">
        <v>118.38861</v>
      </c>
      <c r="AF305" s="175">
        <v>4.6128999999999998</v>
      </c>
      <c r="AG305" s="174">
        <v>24.326920000000001</v>
      </c>
      <c r="AH305" s="175">
        <v>1975.53809</v>
      </c>
      <c r="AI305" s="174" t="s">
        <v>1728</v>
      </c>
      <c r="AJ305" s="174" t="s">
        <v>767</v>
      </c>
      <c r="AK305" s="174" t="str">
        <f t="shared" si="49"/>
        <v>MB</v>
      </c>
    </row>
    <row r="306" spans="26:37" ht="15" x14ac:dyDescent="0.25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2469</v>
      </c>
      <c r="AE306" s="242">
        <v>118.38861</v>
      </c>
      <c r="AF306" s="175">
        <v>4.6128999999999998</v>
      </c>
      <c r="AG306" s="174">
        <v>24.326920000000001</v>
      </c>
      <c r="AH306" s="175">
        <v>1975.53809</v>
      </c>
      <c r="AI306" s="174" t="s">
        <v>1728</v>
      </c>
      <c r="AJ306" s="174" t="s">
        <v>767</v>
      </c>
      <c r="AK306" s="174" t="str">
        <f t="shared" si="49"/>
        <v>MB</v>
      </c>
    </row>
    <row r="307" spans="26:37" ht="15" x14ac:dyDescent="0.25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2470</v>
      </c>
      <c r="AE307" s="242">
        <v>118.38861</v>
      </c>
      <c r="AF307" s="175">
        <v>4.6128999999999998</v>
      </c>
      <c r="AG307" s="174">
        <v>24.326920000000001</v>
      </c>
      <c r="AH307" s="175">
        <v>1975.53809</v>
      </c>
      <c r="AI307" s="174" t="s">
        <v>1728</v>
      </c>
      <c r="AJ307" s="174" t="s">
        <v>767</v>
      </c>
      <c r="AK307" s="174" t="str">
        <f t="shared" si="49"/>
        <v>MB</v>
      </c>
    </row>
    <row r="308" spans="26:37" ht="15" x14ac:dyDescent="0.25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2471</v>
      </c>
      <c r="AE308" s="242">
        <v>118.38861</v>
      </c>
      <c r="AF308" s="175">
        <v>4.6128999999999998</v>
      </c>
      <c r="AG308" s="174">
        <v>24.326920000000001</v>
      </c>
      <c r="AH308" s="175">
        <v>1975.53809</v>
      </c>
      <c r="AI308" s="174" t="s">
        <v>1728</v>
      </c>
      <c r="AJ308" s="174" t="s">
        <v>767</v>
      </c>
      <c r="AK308" s="174" t="str">
        <f t="shared" si="49"/>
        <v>MB</v>
      </c>
    </row>
    <row r="309" spans="26:37" ht="15" x14ac:dyDescent="0.25">
      <c r="Z309" s="173" t="s">
        <v>611</v>
      </c>
      <c r="AA309" s="175" t="s">
        <v>2472</v>
      </c>
      <c r="AB309" s="174" t="s">
        <v>717</v>
      </c>
      <c r="AC309" s="174" t="s">
        <v>1365</v>
      </c>
      <c r="AD309" s="174" t="s">
        <v>2473</v>
      </c>
      <c r="AE309" s="242">
        <v>90.951599999999999</v>
      </c>
      <c r="AF309" s="175">
        <v>3.6855899999999999</v>
      </c>
      <c r="AG309" s="174">
        <v>19.249739999999999</v>
      </c>
      <c r="AH309" s="175">
        <v>1517.69957</v>
      </c>
      <c r="AI309" s="174" t="s">
        <v>1728</v>
      </c>
      <c r="AJ309" s="174" t="s">
        <v>767</v>
      </c>
      <c r="AK309" s="174" t="str">
        <f t="shared" si="49"/>
        <v>MB</v>
      </c>
    </row>
    <row r="310" spans="26:37" ht="15" x14ac:dyDescent="0.25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1733</v>
      </c>
      <c r="AE310" s="242">
        <v>90.951599999999999</v>
      </c>
      <c r="AF310" s="175">
        <v>3.6855899999999999</v>
      </c>
      <c r="AG310" s="174">
        <v>19.249739999999999</v>
      </c>
      <c r="AH310" s="175">
        <v>1517.69957</v>
      </c>
      <c r="AI310" s="174" t="s">
        <v>1728</v>
      </c>
      <c r="AJ310" s="174" t="s">
        <v>767</v>
      </c>
      <c r="AK310" s="174" t="str">
        <f t="shared" si="49"/>
        <v>MB</v>
      </c>
    </row>
    <row r="311" spans="26:37" ht="15" x14ac:dyDescent="0.25">
      <c r="Z311" s="173" t="s">
        <v>502</v>
      </c>
      <c r="AA311" s="175" t="s">
        <v>2474</v>
      </c>
      <c r="AB311" s="174" t="s">
        <v>1062</v>
      </c>
      <c r="AC311" s="174" t="s">
        <v>1469</v>
      </c>
      <c r="AD311" s="174" t="s">
        <v>2475</v>
      </c>
      <c r="AE311" s="242">
        <v>254.70397</v>
      </c>
      <c r="AF311" s="175">
        <v>9.9245099999999997</v>
      </c>
      <c r="AG311" s="174">
        <v>52.337490000000003</v>
      </c>
      <c r="AH311" s="175">
        <v>4250.2179400000005</v>
      </c>
      <c r="AI311" s="174" t="s">
        <v>1728</v>
      </c>
      <c r="AJ311" s="174" t="s">
        <v>767</v>
      </c>
      <c r="AK311" s="174" t="str">
        <f t="shared" ref="AK311:AK374" si="50">VLOOKUP(AI311,$AN$241:$AO$244,2,0)</f>
        <v>MB</v>
      </c>
    </row>
    <row r="312" spans="26:37" ht="15" x14ac:dyDescent="0.25">
      <c r="Z312" s="173" t="s">
        <v>576</v>
      </c>
      <c r="AA312" s="175" t="s">
        <v>2476</v>
      </c>
      <c r="AB312" s="174" t="s">
        <v>1040</v>
      </c>
      <c r="AC312" s="174" t="s">
        <v>1459</v>
      </c>
      <c r="AD312" s="174" t="s">
        <v>2477</v>
      </c>
      <c r="AE312" s="242">
        <v>529.4126</v>
      </c>
      <c r="AF312" s="175">
        <v>20.628060000000001</v>
      </c>
      <c r="AG312" s="174">
        <v>108.78563</v>
      </c>
      <c r="AH312" s="175">
        <v>8834.2516899999991</v>
      </c>
      <c r="AI312" s="174" t="s">
        <v>1728</v>
      </c>
      <c r="AJ312" s="174" t="s">
        <v>767</v>
      </c>
      <c r="AK312" s="174" t="str">
        <f t="shared" si="50"/>
        <v>MB</v>
      </c>
    </row>
    <row r="313" spans="26:37" ht="15" x14ac:dyDescent="0.25">
      <c r="Z313" s="173" t="s">
        <v>493</v>
      </c>
      <c r="AA313" s="175" t="s">
        <v>2478</v>
      </c>
      <c r="AB313" s="174" t="s">
        <v>1071</v>
      </c>
      <c r="AC313" s="174" t="s">
        <v>1472</v>
      </c>
      <c r="AD313" s="174" t="s">
        <v>2479</v>
      </c>
      <c r="AE313" s="242">
        <v>116.70699999999999</v>
      </c>
      <c r="AF313" s="175">
        <v>4.5475199999999996</v>
      </c>
      <c r="AG313" s="174">
        <v>23.981380000000001</v>
      </c>
      <c r="AH313" s="175">
        <v>1947.4772399999999</v>
      </c>
      <c r="AI313" s="174" t="s">
        <v>1728</v>
      </c>
      <c r="AJ313" s="174" t="s">
        <v>767</v>
      </c>
      <c r="AK313" s="174" t="str">
        <f t="shared" si="50"/>
        <v>MB</v>
      </c>
    </row>
    <row r="314" spans="26:37" ht="15" x14ac:dyDescent="0.25">
      <c r="Z314" s="173" t="s">
        <v>490</v>
      </c>
      <c r="AA314" s="175" t="s">
        <v>2480</v>
      </c>
      <c r="AB314" s="174" t="s">
        <v>1073</v>
      </c>
      <c r="AC314" s="174" t="s">
        <v>1473</v>
      </c>
      <c r="AD314" s="174" t="s">
        <v>1755</v>
      </c>
      <c r="AE314" s="242">
        <v>116.70699999999999</v>
      </c>
      <c r="AF314" s="175">
        <v>4.5475199999999996</v>
      </c>
      <c r="AG314" s="174">
        <v>23.981380000000001</v>
      </c>
      <c r="AH314" s="175">
        <v>1947.4772399999999</v>
      </c>
      <c r="AI314" s="174" t="s">
        <v>1728</v>
      </c>
      <c r="AJ314" s="174" t="s">
        <v>767</v>
      </c>
      <c r="AK314" s="174" t="str">
        <f t="shared" si="50"/>
        <v>MB</v>
      </c>
    </row>
    <row r="315" spans="26:37" ht="15" x14ac:dyDescent="0.25">
      <c r="Z315" s="173" t="s">
        <v>489</v>
      </c>
      <c r="AA315" s="175" t="s">
        <v>2481</v>
      </c>
      <c r="AB315" s="174" t="s">
        <v>2482</v>
      </c>
      <c r="AC315" s="174" t="s">
        <v>1474</v>
      </c>
      <c r="AD315" s="174" t="s">
        <v>2483</v>
      </c>
      <c r="AE315" s="242">
        <v>116.70699999999999</v>
      </c>
      <c r="AF315" s="175">
        <v>4.5475199999999996</v>
      </c>
      <c r="AG315" s="174">
        <v>23.981380000000001</v>
      </c>
      <c r="AH315" s="175">
        <v>1947.4772399999999</v>
      </c>
      <c r="AI315" s="174" t="s">
        <v>1728</v>
      </c>
      <c r="AJ315" s="174" t="s">
        <v>767</v>
      </c>
      <c r="AK315" s="174" t="str">
        <f t="shared" si="50"/>
        <v>MB</v>
      </c>
    </row>
    <row r="316" spans="26:37" ht="15" x14ac:dyDescent="0.25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2484</v>
      </c>
      <c r="AE316" s="242">
        <v>324.14004</v>
      </c>
      <c r="AF316" s="175">
        <v>12.629619999999999</v>
      </c>
      <c r="AG316" s="174">
        <v>66.605469999999997</v>
      </c>
      <c r="AH316" s="175">
        <v>5408.8903099999998</v>
      </c>
      <c r="AI316" s="174" t="s">
        <v>1728</v>
      </c>
      <c r="AJ316" s="174" t="s">
        <v>767</v>
      </c>
      <c r="AK316" s="174" t="str">
        <f t="shared" si="50"/>
        <v>MB</v>
      </c>
    </row>
    <row r="317" spans="26:37" ht="15" x14ac:dyDescent="0.25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5" x14ac:dyDescent="0.25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2485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1728</v>
      </c>
      <c r="AJ318" s="174" t="s">
        <v>630</v>
      </c>
      <c r="AK318" s="174" t="str">
        <f t="shared" si="50"/>
        <v>MB</v>
      </c>
    </row>
    <row r="319" spans="26:37" ht="15" x14ac:dyDescent="0.25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5" x14ac:dyDescent="0.25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2486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1728</v>
      </c>
      <c r="AJ320" s="174" t="s">
        <v>1926</v>
      </c>
      <c r="AK320" s="174" t="str">
        <f t="shared" si="50"/>
        <v>MB</v>
      </c>
    </row>
    <row r="321" spans="26:37" ht="15" x14ac:dyDescent="0.25">
      <c r="Z321" s="173" t="s">
        <v>494</v>
      </c>
      <c r="AA321" s="175" t="s">
        <v>2487</v>
      </c>
      <c r="AB321" s="174" t="s">
        <v>1034</v>
      </c>
      <c r="AC321" s="174" t="s">
        <v>1457</v>
      </c>
      <c r="AD321" s="174" t="s">
        <v>2488</v>
      </c>
      <c r="AE321" s="242">
        <v>316.44135</v>
      </c>
      <c r="AF321" s="175">
        <v>12.329840000000001</v>
      </c>
      <c r="AG321" s="174">
        <v>65.023520000000005</v>
      </c>
      <c r="AH321" s="175">
        <v>5280.4229800000003</v>
      </c>
      <c r="AI321" s="174" t="s">
        <v>1728</v>
      </c>
      <c r="AJ321" s="174" t="s">
        <v>767</v>
      </c>
      <c r="AK321" s="174" t="str">
        <f t="shared" si="50"/>
        <v>MB</v>
      </c>
    </row>
    <row r="322" spans="26:37" ht="15" x14ac:dyDescent="0.25">
      <c r="Z322" s="173" t="s">
        <v>601</v>
      </c>
      <c r="AA322" s="175" t="s">
        <v>2489</v>
      </c>
      <c r="AB322" s="174" t="s">
        <v>1851</v>
      </c>
      <c r="AC322" s="174" t="s">
        <v>1479</v>
      </c>
      <c r="AD322" s="174" t="s">
        <v>2490</v>
      </c>
      <c r="AE322" s="242">
        <v>135.69978</v>
      </c>
      <c r="AF322" s="175">
        <v>5.2872300000000001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KOMP.</v>
      </c>
    </row>
    <row r="323" spans="26:37" ht="15" x14ac:dyDescent="0.25">
      <c r="Z323" s="173" t="s">
        <v>598</v>
      </c>
      <c r="AA323" s="175" t="s">
        <v>2491</v>
      </c>
      <c r="AB323" s="174" t="s">
        <v>1853</v>
      </c>
      <c r="AC323" s="174" t="s">
        <v>1480</v>
      </c>
      <c r="AD323" s="174" t="s">
        <v>1758</v>
      </c>
      <c r="AE323" s="242">
        <v>135.69978</v>
      </c>
      <c r="AF323" s="175">
        <v>5.2872300000000001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KOMP.</v>
      </c>
    </row>
    <row r="324" spans="26:37" ht="15" x14ac:dyDescent="0.25">
      <c r="Z324" s="173" t="s">
        <v>603</v>
      </c>
      <c r="AA324" s="175" t="s">
        <v>2492</v>
      </c>
      <c r="AB324" s="174" t="s">
        <v>2493</v>
      </c>
      <c r="AC324" s="174" t="s">
        <v>1481</v>
      </c>
      <c r="AD324" s="174" t="s">
        <v>2494</v>
      </c>
      <c r="AE324" s="242">
        <v>135.69978</v>
      </c>
      <c r="AF324" s="175">
        <v>5.2872300000000001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KOMP.</v>
      </c>
    </row>
    <row r="325" spans="26:37" ht="15" x14ac:dyDescent="0.25">
      <c r="Z325" s="173" t="s">
        <v>604</v>
      </c>
      <c r="AA325" s="175" t="s">
        <v>2495</v>
      </c>
      <c r="AB325" s="174" t="s">
        <v>2496</v>
      </c>
      <c r="AC325" s="174" t="s">
        <v>1759</v>
      </c>
      <c r="AD325" s="174" t="s">
        <v>2497</v>
      </c>
      <c r="AE325" s="242">
        <v>135.69978</v>
      </c>
      <c r="AF325" s="175">
        <v>5.2872300000000001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KOMP.</v>
      </c>
    </row>
    <row r="326" spans="26:37" ht="15" x14ac:dyDescent="0.25">
      <c r="Z326" s="173" t="s">
        <v>600</v>
      </c>
      <c r="AA326" s="175" t="s">
        <v>2498</v>
      </c>
      <c r="AB326" s="174" t="s">
        <v>2499</v>
      </c>
      <c r="AC326" s="174" t="s">
        <v>1761</v>
      </c>
      <c r="AD326" s="174" t="s">
        <v>2500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1926</v>
      </c>
      <c r="AK326" s="174" t="str">
        <f t="shared" si="50"/>
        <v>KOMP.</v>
      </c>
    </row>
    <row r="327" spans="26:37" ht="15" x14ac:dyDescent="0.25">
      <c r="Z327" s="173" t="s">
        <v>602</v>
      </c>
      <c r="AA327" s="175" t="s">
        <v>2501</v>
      </c>
      <c r="AB327" s="174" t="s">
        <v>2502</v>
      </c>
      <c r="AC327" s="174" t="s">
        <v>1762</v>
      </c>
      <c r="AD327" s="174" t="s">
        <v>2503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KOMP.</v>
      </c>
    </row>
    <row r="328" spans="26:37" ht="15" x14ac:dyDescent="0.25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5" x14ac:dyDescent="0.25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5" x14ac:dyDescent="0.25">
      <c r="Z330" s="173" t="s">
        <v>590</v>
      </c>
      <c r="AA330" s="175" t="s">
        <v>2504</v>
      </c>
      <c r="AB330" s="174" t="s">
        <v>1068</v>
      </c>
      <c r="AC330" s="174" t="s">
        <v>1471</v>
      </c>
      <c r="AD330" s="174" t="s">
        <v>2505</v>
      </c>
      <c r="AE330" s="242">
        <v>193.74575999999999</v>
      </c>
      <c r="AF330" s="175">
        <v>7.5490700000000004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PAR.</v>
      </c>
    </row>
    <row r="331" spans="26:37" ht="15" x14ac:dyDescent="0.25">
      <c r="Z331" s="173" t="s">
        <v>606</v>
      </c>
      <c r="AA331" s="175" t="s">
        <v>2506</v>
      </c>
      <c r="AB331" s="174" t="s">
        <v>2507</v>
      </c>
      <c r="AC331" s="174" t="s">
        <v>1456</v>
      </c>
      <c r="AD331" s="174" t="s">
        <v>2508</v>
      </c>
      <c r="AE331" s="242">
        <v>32.407150000000001</v>
      </c>
      <c r="AF331" s="175">
        <v>1.26281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SZT.</v>
      </c>
    </row>
    <row r="332" spans="26:37" ht="15" x14ac:dyDescent="0.25">
      <c r="Z332" s="173" t="s">
        <v>564</v>
      </c>
      <c r="AA332" s="175" t="s">
        <v>2509</v>
      </c>
      <c r="AB332" s="174" t="s">
        <v>696</v>
      </c>
      <c r="AC332" s="174" t="s">
        <v>1358</v>
      </c>
      <c r="AD332" s="174" t="s">
        <v>2510</v>
      </c>
      <c r="AE332" s="242">
        <v>9.5850200000000001</v>
      </c>
      <c r="AF332" s="175">
        <v>0.37335000000000002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SZT.</v>
      </c>
    </row>
    <row r="333" spans="26:37" ht="15" x14ac:dyDescent="0.25">
      <c r="Z333" s="173" t="s">
        <v>563</v>
      </c>
      <c r="AA333" s="175" t="s">
        <v>2511</v>
      </c>
      <c r="AB333" s="174" t="s">
        <v>699</v>
      </c>
      <c r="AC333" s="174" t="s">
        <v>1359</v>
      </c>
      <c r="AD333" s="174" t="s">
        <v>2512</v>
      </c>
      <c r="AE333" s="242">
        <v>9.5850200000000001</v>
      </c>
      <c r="AF333" s="175">
        <v>0.37335000000000002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SZT.</v>
      </c>
    </row>
    <row r="334" spans="26:37" ht="15" x14ac:dyDescent="0.25">
      <c r="Z334" s="173" t="s">
        <v>566</v>
      </c>
      <c r="AA334" s="175" t="s">
        <v>2513</v>
      </c>
      <c r="AB334" s="174" t="s">
        <v>2514</v>
      </c>
      <c r="AC334" s="174" t="s">
        <v>1360</v>
      </c>
      <c r="AD334" s="174" t="s">
        <v>2515</v>
      </c>
      <c r="AE334" s="242">
        <v>9.5850200000000001</v>
      </c>
      <c r="AF334" s="175">
        <v>0.37335000000000002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SZT.</v>
      </c>
    </row>
    <row r="335" spans="26:37" ht="15" x14ac:dyDescent="0.25">
      <c r="Z335" s="173" t="s">
        <v>562</v>
      </c>
      <c r="AA335" s="175" t="s">
        <v>2516</v>
      </c>
      <c r="AB335" s="174" t="s">
        <v>2517</v>
      </c>
      <c r="AC335" s="174" t="s">
        <v>1361</v>
      </c>
      <c r="AD335" s="174" t="s">
        <v>2518</v>
      </c>
      <c r="AE335" s="242">
        <v>9.8725699999999996</v>
      </c>
      <c r="AF335" s="175">
        <v>0.38455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SZT.</v>
      </c>
    </row>
    <row r="336" spans="26:37" ht="15" x14ac:dyDescent="0.25">
      <c r="Z336" s="173" t="s">
        <v>550</v>
      </c>
      <c r="AA336" s="175" t="s">
        <v>2519</v>
      </c>
      <c r="AB336" s="174" t="s">
        <v>708</v>
      </c>
      <c r="AC336" s="174" t="s">
        <v>1362</v>
      </c>
      <c r="AD336" s="174" t="s">
        <v>2520</v>
      </c>
      <c r="AE336" s="242">
        <v>9.5850200000000001</v>
      </c>
      <c r="AF336" s="175">
        <v>0.37335000000000002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SZT.</v>
      </c>
    </row>
    <row r="337" spans="26:37" ht="15" x14ac:dyDescent="0.25">
      <c r="Z337" s="173" t="s">
        <v>565</v>
      </c>
      <c r="AA337" s="175" t="s">
        <v>2521</v>
      </c>
      <c r="AB337" s="174" t="s">
        <v>711</v>
      </c>
      <c r="AC337" s="174" t="s">
        <v>1363</v>
      </c>
      <c r="AD337" s="174" t="s">
        <v>2522</v>
      </c>
      <c r="AE337" s="242">
        <v>9.5850200000000001</v>
      </c>
      <c r="AF337" s="175">
        <v>0.37335000000000002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SZT.</v>
      </c>
    </row>
    <row r="338" spans="26:37" ht="15" x14ac:dyDescent="0.25">
      <c r="Z338" s="173" t="s">
        <v>567</v>
      </c>
      <c r="AA338" s="175" t="s">
        <v>2523</v>
      </c>
      <c r="AB338" s="174" t="s">
        <v>714</v>
      </c>
      <c r="AC338" s="174" t="s">
        <v>1364</v>
      </c>
      <c r="AD338" s="174" t="s">
        <v>2524</v>
      </c>
      <c r="AE338" s="242">
        <v>9.5850200000000001</v>
      </c>
      <c r="AF338" s="175">
        <v>0.37335000000000002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SZT.</v>
      </c>
    </row>
    <row r="339" spans="26:37" ht="15" x14ac:dyDescent="0.25">
      <c r="Z339" s="173" t="s">
        <v>575</v>
      </c>
      <c r="AA339" s="175" t="s">
        <v>941</v>
      </c>
      <c r="AB339" s="174" t="s">
        <v>1746</v>
      </c>
      <c r="AC339" s="174" t="s">
        <v>1431</v>
      </c>
      <c r="AD339" s="174" t="s">
        <v>2525</v>
      </c>
      <c r="AE339" s="242">
        <v>99.814099999999996</v>
      </c>
      <c r="AF339" s="175">
        <v>3.8891200000000001</v>
      </c>
      <c r="AG339" s="174">
        <v>20.510159999999999</v>
      </c>
      <c r="AH339" s="175">
        <v>1665.58718</v>
      </c>
      <c r="AI339" s="174" t="s">
        <v>1728</v>
      </c>
      <c r="AJ339" s="174" t="s">
        <v>767</v>
      </c>
      <c r="AK339" s="174" t="str">
        <f t="shared" si="50"/>
        <v>MB</v>
      </c>
    </row>
    <row r="340" spans="26:37" ht="15" x14ac:dyDescent="0.25">
      <c r="Z340" s="173" t="s">
        <v>573</v>
      </c>
      <c r="AA340" s="175" t="s">
        <v>939</v>
      </c>
      <c r="AB340" s="174" t="s">
        <v>1704</v>
      </c>
      <c r="AC340" s="174" t="s">
        <v>1430</v>
      </c>
      <c r="AD340" s="174" t="s">
        <v>2526</v>
      </c>
      <c r="AE340" s="242">
        <v>99.814099999999996</v>
      </c>
      <c r="AF340" s="175">
        <v>3.8891200000000001</v>
      </c>
      <c r="AG340" s="174">
        <v>20.510159999999999</v>
      </c>
      <c r="AH340" s="175">
        <v>1665.58718</v>
      </c>
      <c r="AI340" s="174" t="s">
        <v>1728</v>
      </c>
      <c r="AJ340" s="174" t="s">
        <v>767</v>
      </c>
      <c r="AK340" s="174" t="str">
        <f t="shared" si="50"/>
        <v>MB</v>
      </c>
    </row>
    <row r="341" spans="26:37" ht="15" x14ac:dyDescent="0.25">
      <c r="Z341" s="173" t="s">
        <v>584</v>
      </c>
      <c r="AA341" s="175" t="s">
        <v>936</v>
      </c>
      <c r="AB341" s="174" t="s">
        <v>2527</v>
      </c>
      <c r="AC341" s="174" t="s">
        <v>1429</v>
      </c>
      <c r="AD341" s="174" t="s">
        <v>2528</v>
      </c>
      <c r="AE341" s="242">
        <v>99.814099999999996</v>
      </c>
      <c r="AF341" s="175">
        <v>3.8891200000000001</v>
      </c>
      <c r="AG341" s="174">
        <v>20.510159999999999</v>
      </c>
      <c r="AH341" s="175">
        <v>1665.58718</v>
      </c>
      <c r="AI341" s="174" t="s">
        <v>1728</v>
      </c>
      <c r="AJ341" s="174" t="s">
        <v>767</v>
      </c>
      <c r="AK341" s="174" t="str">
        <f t="shared" si="50"/>
        <v>MB</v>
      </c>
    </row>
    <row r="342" spans="26:37" ht="15" x14ac:dyDescent="0.25">
      <c r="Z342" s="173" t="s">
        <v>571</v>
      </c>
      <c r="AA342" s="175" t="s">
        <v>2529</v>
      </c>
      <c r="AB342" s="174" t="s">
        <v>2530</v>
      </c>
      <c r="AC342" s="174" t="s">
        <v>1742</v>
      </c>
      <c r="AD342" s="174" t="s">
        <v>2531</v>
      </c>
      <c r="AE342" s="242">
        <v>99.814099999999996</v>
      </c>
      <c r="AF342" s="175">
        <v>3.8891200000000001</v>
      </c>
      <c r="AG342" s="174">
        <v>20.510159999999999</v>
      </c>
      <c r="AH342" s="175">
        <v>1665.58718</v>
      </c>
      <c r="AI342" s="174" t="s">
        <v>1728</v>
      </c>
      <c r="AJ342" s="174" t="s">
        <v>767</v>
      </c>
      <c r="AK342" s="174" t="str">
        <f t="shared" si="50"/>
        <v>MB</v>
      </c>
    </row>
    <row r="343" spans="26:37" ht="15" x14ac:dyDescent="0.25">
      <c r="Z343" s="173" t="s">
        <v>578</v>
      </c>
      <c r="AA343" s="175" t="s">
        <v>2532</v>
      </c>
      <c r="AB343" s="174" t="s">
        <v>886</v>
      </c>
      <c r="AC343" s="174" t="s">
        <v>1412</v>
      </c>
      <c r="AD343" s="174" t="s">
        <v>2533</v>
      </c>
      <c r="AE343" s="242">
        <v>99.814099999999996</v>
      </c>
      <c r="AF343" s="175">
        <v>3.8891200000000001</v>
      </c>
      <c r="AG343" s="174">
        <v>20.510159999999999</v>
      </c>
      <c r="AH343" s="175">
        <v>1665.58718</v>
      </c>
      <c r="AI343" s="174" t="s">
        <v>1728</v>
      </c>
      <c r="AJ343" s="174" t="s">
        <v>767</v>
      </c>
      <c r="AK343" s="174" t="str">
        <f t="shared" si="50"/>
        <v>MB</v>
      </c>
    </row>
    <row r="344" spans="26:37" ht="15" x14ac:dyDescent="0.25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2534</v>
      </c>
      <c r="AE344" s="242">
        <v>99.814099999999996</v>
      </c>
      <c r="AF344" s="175">
        <v>3.8891200000000001</v>
      </c>
      <c r="AG344" s="174">
        <v>20.510159999999999</v>
      </c>
      <c r="AH344" s="175">
        <v>1665.58718</v>
      </c>
      <c r="AI344" s="174" t="s">
        <v>1728</v>
      </c>
      <c r="AJ344" s="174" t="s">
        <v>767</v>
      </c>
      <c r="AK344" s="174" t="str">
        <f t="shared" si="50"/>
        <v>MB</v>
      </c>
    </row>
    <row r="345" spans="26:37" ht="15" x14ac:dyDescent="0.25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2535</v>
      </c>
      <c r="AE345" s="242">
        <v>99.814099999999996</v>
      </c>
      <c r="AF345" s="175">
        <v>3.8891200000000001</v>
      </c>
      <c r="AG345" s="174">
        <v>20.510159999999999</v>
      </c>
      <c r="AH345" s="175">
        <v>1665.58718</v>
      </c>
      <c r="AI345" s="174" t="s">
        <v>1728</v>
      </c>
      <c r="AJ345" s="174" t="s">
        <v>767</v>
      </c>
      <c r="AK345" s="174" t="str">
        <f t="shared" si="50"/>
        <v>MB</v>
      </c>
    </row>
    <row r="346" spans="26:37" ht="15" x14ac:dyDescent="0.25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2536</v>
      </c>
      <c r="AE346" s="242">
        <v>99.814099999999996</v>
      </c>
      <c r="AF346" s="175">
        <v>3.8891200000000001</v>
      </c>
      <c r="AG346" s="174">
        <v>20.510159999999999</v>
      </c>
      <c r="AH346" s="175">
        <v>1665.58718</v>
      </c>
      <c r="AI346" s="174" t="s">
        <v>1728</v>
      </c>
      <c r="AJ346" s="174" t="s">
        <v>767</v>
      </c>
      <c r="AK346" s="174" t="str">
        <f t="shared" si="50"/>
        <v>MB</v>
      </c>
    </row>
    <row r="347" spans="26:37" ht="15" x14ac:dyDescent="0.25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2537</v>
      </c>
      <c r="AE347" s="242">
        <v>76.685249999999996</v>
      </c>
      <c r="AF347" s="175">
        <v>3.1074799999999998</v>
      </c>
      <c r="AG347" s="174">
        <v>16.23028</v>
      </c>
      <c r="AH347" s="175">
        <v>1279.6386</v>
      </c>
      <c r="AI347" s="174" t="s">
        <v>1728</v>
      </c>
      <c r="AJ347" s="174" t="s">
        <v>767</v>
      </c>
      <c r="AK347" s="174" t="str">
        <f t="shared" si="50"/>
        <v>MB</v>
      </c>
    </row>
    <row r="348" spans="26:37" ht="15" x14ac:dyDescent="0.25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2538</v>
      </c>
      <c r="AE348" s="242">
        <v>76.685249999999996</v>
      </c>
      <c r="AF348" s="175">
        <v>3.1074799999999998</v>
      </c>
      <c r="AG348" s="174">
        <v>16.23028</v>
      </c>
      <c r="AH348" s="175">
        <v>1279.6386</v>
      </c>
      <c r="AI348" s="174" t="s">
        <v>1728</v>
      </c>
      <c r="AJ348" s="174" t="s">
        <v>767</v>
      </c>
      <c r="AK348" s="174" t="str">
        <f t="shared" si="50"/>
        <v>MB</v>
      </c>
    </row>
    <row r="349" spans="26:37" ht="15" x14ac:dyDescent="0.25">
      <c r="Z349" s="173" t="s">
        <v>539</v>
      </c>
      <c r="AA349" s="175" t="s">
        <v>2539</v>
      </c>
      <c r="AB349" s="174" t="s">
        <v>1744</v>
      </c>
      <c r="AC349" s="174" t="s">
        <v>1404</v>
      </c>
      <c r="AD349" s="174" t="s">
        <v>2540</v>
      </c>
      <c r="AE349" s="242">
        <v>28.434750000000001</v>
      </c>
      <c r="AF349" s="175">
        <v>1.10791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SZT.</v>
      </c>
    </row>
    <row r="350" spans="26:37" ht="15" x14ac:dyDescent="0.25">
      <c r="Z350" s="173" t="s">
        <v>607</v>
      </c>
      <c r="AA350" s="175" t="s">
        <v>2541</v>
      </c>
      <c r="AB350" s="174" t="s">
        <v>1705</v>
      </c>
      <c r="AC350" s="174" t="s">
        <v>1419</v>
      </c>
      <c r="AD350" s="174" t="s">
        <v>2542</v>
      </c>
      <c r="AE350" s="242">
        <v>28.434750000000001</v>
      </c>
      <c r="AF350" s="175">
        <v>1.10791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SZT.</v>
      </c>
    </row>
    <row r="351" spans="26:37" ht="15" x14ac:dyDescent="0.25">
      <c r="Z351" s="173" t="s">
        <v>548</v>
      </c>
      <c r="AA351" s="175" t="s">
        <v>2543</v>
      </c>
      <c r="AB351" s="174" t="s">
        <v>2544</v>
      </c>
      <c r="AC351" s="174" t="s">
        <v>1420</v>
      </c>
      <c r="AD351" s="174" t="s">
        <v>2545</v>
      </c>
      <c r="AE351" s="242">
        <v>28.434750000000001</v>
      </c>
      <c r="AF351" s="175">
        <v>1.10791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SZT.</v>
      </c>
    </row>
    <row r="352" spans="26:37" ht="15" x14ac:dyDescent="0.25">
      <c r="Z352" s="173" t="s">
        <v>537</v>
      </c>
      <c r="AA352" s="175" t="s">
        <v>2546</v>
      </c>
      <c r="AB352" s="174" t="s">
        <v>2547</v>
      </c>
      <c r="AC352" s="174" t="s">
        <v>1437</v>
      </c>
      <c r="AD352" s="174" t="s">
        <v>2548</v>
      </c>
      <c r="AE352" s="242">
        <v>28.434750000000001</v>
      </c>
      <c r="AF352" s="175">
        <v>1.10791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SZT.</v>
      </c>
    </row>
    <row r="353" spans="26:37" ht="15" x14ac:dyDescent="0.25">
      <c r="Z353" s="173" t="s">
        <v>541</v>
      </c>
      <c r="AA353" s="175" t="s">
        <v>2549</v>
      </c>
      <c r="AB353" s="174" t="s">
        <v>889</v>
      </c>
      <c r="AC353" s="174" t="s">
        <v>1413</v>
      </c>
      <c r="AD353" s="174" t="s">
        <v>2550</v>
      </c>
      <c r="AE353" s="242">
        <v>28.434750000000001</v>
      </c>
      <c r="AF353" s="175">
        <v>1.10791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SZT.</v>
      </c>
    </row>
    <row r="354" spans="26:37" ht="15" x14ac:dyDescent="0.25">
      <c r="Z354" s="173" t="s">
        <v>542</v>
      </c>
      <c r="AA354" s="175" t="s">
        <v>2551</v>
      </c>
      <c r="AB354" s="174" t="s">
        <v>913</v>
      </c>
      <c r="AC354" s="174" t="s">
        <v>1421</v>
      </c>
      <c r="AD354" s="174" t="s">
        <v>2552</v>
      </c>
      <c r="AE354" s="242">
        <v>28.434750000000001</v>
      </c>
      <c r="AF354" s="175">
        <v>1.10791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SZT.</v>
      </c>
    </row>
    <row r="355" spans="26:37" ht="15" x14ac:dyDescent="0.25">
      <c r="Z355" s="173" t="s">
        <v>544</v>
      </c>
      <c r="AA355" s="175" t="s">
        <v>2553</v>
      </c>
      <c r="AB355" s="174" t="s">
        <v>916</v>
      </c>
      <c r="AC355" s="174" t="s">
        <v>1422</v>
      </c>
      <c r="AD355" s="174" t="s">
        <v>2554</v>
      </c>
      <c r="AE355" s="242">
        <v>28.434750000000001</v>
      </c>
      <c r="AF355" s="175">
        <v>1.10791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SZT.</v>
      </c>
    </row>
    <row r="356" spans="26:37" ht="15" x14ac:dyDescent="0.25">
      <c r="Z356" s="173" t="s">
        <v>545</v>
      </c>
      <c r="AA356" s="175" t="s">
        <v>2555</v>
      </c>
      <c r="AB356" s="174" t="s">
        <v>846</v>
      </c>
      <c r="AC356" s="174" t="s">
        <v>1395</v>
      </c>
      <c r="AD356" s="174" t="s">
        <v>2556</v>
      </c>
      <c r="AE356" s="242">
        <v>28.434750000000001</v>
      </c>
      <c r="AF356" s="175">
        <v>1.10791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SZT.</v>
      </c>
    </row>
    <row r="357" spans="26:37" ht="15" x14ac:dyDescent="0.25">
      <c r="Z357" s="173" t="s">
        <v>543</v>
      </c>
      <c r="AA357" s="175" t="s">
        <v>2557</v>
      </c>
      <c r="AB357" s="174" t="s">
        <v>840</v>
      </c>
      <c r="AC357" s="174" t="s">
        <v>1393</v>
      </c>
      <c r="AD357" s="174" t="s">
        <v>2558</v>
      </c>
      <c r="AE357" s="242">
        <v>21.851680000000002</v>
      </c>
      <c r="AF357" s="175">
        <v>0.88548000000000004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SZT.</v>
      </c>
    </row>
    <row r="358" spans="26:37" ht="15" x14ac:dyDescent="0.25">
      <c r="Z358" s="173" t="s">
        <v>546</v>
      </c>
      <c r="AA358" s="175" t="s">
        <v>2559</v>
      </c>
      <c r="AB358" s="174" t="s">
        <v>843</v>
      </c>
      <c r="AC358" s="174" t="s">
        <v>1394</v>
      </c>
      <c r="AD358" s="174" t="s">
        <v>2560</v>
      </c>
      <c r="AE358" s="242">
        <v>21.851680000000002</v>
      </c>
      <c r="AF358" s="175">
        <v>0.88548000000000004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SZT.</v>
      </c>
    </row>
    <row r="359" spans="26:37" ht="15" x14ac:dyDescent="0.25">
      <c r="Z359" s="173" t="s">
        <v>569</v>
      </c>
      <c r="AA359" s="175" t="s">
        <v>2561</v>
      </c>
      <c r="AB359" s="174" t="s">
        <v>2562</v>
      </c>
      <c r="AC359" s="174" t="s">
        <v>1445</v>
      </c>
      <c r="AD359" s="174" t="s">
        <v>2563</v>
      </c>
      <c r="AE359" s="242">
        <v>831.70120999999995</v>
      </c>
      <c r="AF359" s="175">
        <v>32.40822</v>
      </c>
      <c r="AG359" s="174">
        <v>170.90098</v>
      </c>
      <c r="AH359" s="175">
        <v>13878.509319999999</v>
      </c>
      <c r="AI359" s="174" t="s">
        <v>1728</v>
      </c>
      <c r="AJ359" s="174" t="s">
        <v>767</v>
      </c>
      <c r="AK359" s="174" t="str">
        <f t="shared" si="50"/>
        <v>MB</v>
      </c>
    </row>
    <row r="360" spans="26:37" ht="15" x14ac:dyDescent="0.25">
      <c r="Z360" s="173" t="s">
        <v>570</v>
      </c>
      <c r="AA360" s="175" t="s">
        <v>2564</v>
      </c>
      <c r="AB360" s="174" t="s">
        <v>2565</v>
      </c>
      <c r="AC360" s="174" t="s">
        <v>1446</v>
      </c>
      <c r="AD360" s="174" t="s">
        <v>2566</v>
      </c>
      <c r="AE360" s="242">
        <v>915.60424</v>
      </c>
      <c r="AF360" s="175">
        <v>35.67521</v>
      </c>
      <c r="AG360" s="174">
        <v>188.14168000000001</v>
      </c>
      <c r="AH360" s="175">
        <v>15278.590340000001</v>
      </c>
      <c r="AI360" s="174" t="s">
        <v>1728</v>
      </c>
      <c r="AJ360" s="174" t="s">
        <v>767</v>
      </c>
      <c r="AK360" s="174" t="str">
        <f t="shared" si="50"/>
        <v>MB</v>
      </c>
    </row>
    <row r="361" spans="26:37" ht="15" x14ac:dyDescent="0.25">
      <c r="Z361" s="173" t="s">
        <v>610</v>
      </c>
      <c r="AA361" s="175" t="s">
        <v>2567</v>
      </c>
      <c r="AB361" s="174" t="s">
        <v>1543</v>
      </c>
      <c r="AC361" s="174" t="s">
        <v>1544</v>
      </c>
      <c r="AD361" s="174" t="s">
        <v>2568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1728</v>
      </c>
      <c r="AJ361" s="174" t="s">
        <v>630</v>
      </c>
      <c r="AK361" s="174" t="str">
        <f t="shared" si="50"/>
        <v>MB</v>
      </c>
    </row>
    <row r="362" spans="26:37" ht="15" x14ac:dyDescent="0.25">
      <c r="Z362" s="173" t="s">
        <v>455</v>
      </c>
      <c r="AA362" s="175" t="s">
        <v>2569</v>
      </c>
      <c r="AB362" s="174" t="s">
        <v>1108</v>
      </c>
      <c r="AC362" s="174" t="s">
        <v>1489</v>
      </c>
      <c r="AD362" s="174" t="s">
        <v>2570</v>
      </c>
      <c r="AE362" s="242">
        <v>89.304500000000004</v>
      </c>
      <c r="AF362" s="175">
        <v>3.4797400000000001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PAR.</v>
      </c>
    </row>
    <row r="363" spans="26:37" ht="15" x14ac:dyDescent="0.25">
      <c r="Z363" s="173" t="s">
        <v>454</v>
      </c>
      <c r="AA363" s="175" t="s">
        <v>2571</v>
      </c>
      <c r="AB363" s="174" t="s">
        <v>2572</v>
      </c>
      <c r="AC363" s="174" t="s">
        <v>1426</v>
      </c>
      <c r="AD363" s="174" t="s">
        <v>2573</v>
      </c>
      <c r="AE363" s="242">
        <v>89.304500000000004</v>
      </c>
      <c r="AF363" s="175">
        <v>3.4797400000000001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PAR.</v>
      </c>
    </row>
    <row r="364" spans="26:37" ht="15" x14ac:dyDescent="0.25">
      <c r="Z364" s="173" t="s">
        <v>453</v>
      </c>
      <c r="AA364" s="175" t="s">
        <v>2574</v>
      </c>
      <c r="AB364" s="174" t="s">
        <v>1166</v>
      </c>
      <c r="AC364" s="174" t="s">
        <v>1513</v>
      </c>
      <c r="AD364" s="174" t="s">
        <v>2575</v>
      </c>
      <c r="AE364" s="242">
        <v>89.304500000000004</v>
      </c>
      <c r="AF364" s="175">
        <v>3.4797400000000001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PAR.</v>
      </c>
    </row>
    <row r="365" spans="26:37" ht="15" x14ac:dyDescent="0.25">
      <c r="Z365" s="173" t="s">
        <v>596</v>
      </c>
      <c r="AA365" s="175" t="s">
        <v>1745</v>
      </c>
      <c r="AB365" s="174" t="s">
        <v>904</v>
      </c>
      <c r="AC365" s="174" t="s">
        <v>905</v>
      </c>
      <c r="AD365" s="174" t="s">
        <v>2576</v>
      </c>
      <c r="AE365" s="242">
        <v>360.2799</v>
      </c>
      <c r="AF365" s="175">
        <v>14.038690000000001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SZT.</v>
      </c>
    </row>
    <row r="366" spans="26:37" ht="15" x14ac:dyDescent="0.25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2577</v>
      </c>
      <c r="AE366" s="242">
        <v>3020.8377</v>
      </c>
      <c r="AF366" s="175">
        <v>117.70202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SZT.</v>
      </c>
    </row>
    <row r="367" spans="26:37" ht="15" x14ac:dyDescent="0.25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2578</v>
      </c>
      <c r="AE367" s="242">
        <v>3005.5229300000001</v>
      </c>
      <c r="AF367" s="175">
        <v>117.10357999999999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SZT.</v>
      </c>
    </row>
    <row r="368" spans="26:37" ht="15" x14ac:dyDescent="0.25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2579</v>
      </c>
      <c r="AE368" s="242">
        <v>3178.0875500000002</v>
      </c>
      <c r="AF368" s="175">
        <v>123.83037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SZT.</v>
      </c>
    </row>
    <row r="369" spans="26:37" ht="15" x14ac:dyDescent="0.25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2580</v>
      </c>
      <c r="AE369" s="242">
        <v>3320.2961</v>
      </c>
      <c r="AF369" s="175">
        <v>129.37137999999999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SZT.</v>
      </c>
    </row>
    <row r="370" spans="26:37" ht="15" x14ac:dyDescent="0.25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2581</v>
      </c>
      <c r="AE370" s="242">
        <v>3432.9690300000002</v>
      </c>
      <c r="AF370" s="175">
        <v>133.75986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SZT.</v>
      </c>
    </row>
    <row r="371" spans="26:37" ht="15" x14ac:dyDescent="0.25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5" x14ac:dyDescent="0.25">
      <c r="Z372" s="173" t="s">
        <v>1013</v>
      </c>
      <c r="AA372" s="175" t="s">
        <v>2582</v>
      </c>
      <c r="AB372" s="174" t="s">
        <v>1015</v>
      </c>
      <c r="AC372" s="174" t="s">
        <v>1764</v>
      </c>
      <c r="AD372" s="174" t="s">
        <v>2583</v>
      </c>
      <c r="AE372" s="242">
        <v>38.533050000000003</v>
      </c>
      <c r="AF372" s="175">
        <v>1.50162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PAR.</v>
      </c>
    </row>
    <row r="373" spans="26:37" ht="15" x14ac:dyDescent="0.25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2584</v>
      </c>
      <c r="AE373" s="242">
        <v>511.67729000000003</v>
      </c>
      <c r="AF373" s="175">
        <v>19.936540000000001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PAR.</v>
      </c>
    </row>
    <row r="374" spans="26:37" ht="15" x14ac:dyDescent="0.25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2585</v>
      </c>
      <c r="AE374" s="242">
        <v>336.47390000000001</v>
      </c>
      <c r="AF374" s="175">
        <v>13.110580000000001</v>
      </c>
      <c r="AG374" s="174">
        <v>69.139859999999999</v>
      </c>
      <c r="AH374" s="175">
        <v>5614.7039999999997</v>
      </c>
      <c r="AI374" s="174" t="s">
        <v>1728</v>
      </c>
      <c r="AJ374" s="174" t="s">
        <v>767</v>
      </c>
      <c r="AK374" s="174" t="str">
        <f t="shared" si="50"/>
        <v>MB</v>
      </c>
    </row>
    <row r="375" spans="26:37" ht="15" x14ac:dyDescent="0.25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2586</v>
      </c>
      <c r="AE375" s="242">
        <v>336.47390000000001</v>
      </c>
      <c r="AF375" s="175">
        <v>13.110580000000001</v>
      </c>
      <c r="AG375" s="174">
        <v>69.139859999999999</v>
      </c>
      <c r="AH375" s="175">
        <v>5614.7039999999997</v>
      </c>
      <c r="AI375" s="174" t="s">
        <v>1728</v>
      </c>
      <c r="AJ375" s="174" t="s">
        <v>767</v>
      </c>
      <c r="AK375" s="174" t="str">
        <f t="shared" ref="AK375:AK438" si="51">VLOOKUP(AI375,$AN$241:$AO$244,2,0)</f>
        <v>MB</v>
      </c>
    </row>
    <row r="376" spans="26:37" ht="15" x14ac:dyDescent="0.25">
      <c r="Z376" s="173" t="s">
        <v>472</v>
      </c>
      <c r="AA376" s="175" t="s">
        <v>881</v>
      </c>
      <c r="AB376" s="174" t="s">
        <v>2587</v>
      </c>
      <c r="AC376" s="174" t="s">
        <v>1410</v>
      </c>
      <c r="AD376" s="174" t="s">
        <v>2588</v>
      </c>
      <c r="AE376" s="242">
        <v>336.47390000000001</v>
      </c>
      <c r="AF376" s="175">
        <v>13.110580000000001</v>
      </c>
      <c r="AG376" s="174">
        <v>69.139859999999999</v>
      </c>
      <c r="AH376" s="175">
        <v>5614.7039999999997</v>
      </c>
      <c r="AI376" s="174" t="s">
        <v>1728</v>
      </c>
      <c r="AJ376" s="174" t="s">
        <v>767</v>
      </c>
      <c r="AK376" s="174" t="str">
        <f t="shared" si="51"/>
        <v>MB</v>
      </c>
    </row>
    <row r="377" spans="26:37" ht="15" x14ac:dyDescent="0.25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2589</v>
      </c>
      <c r="AE377" s="242">
        <v>392.05802</v>
      </c>
      <c r="AF377" s="175">
        <v>15.276</v>
      </c>
      <c r="AG377" s="174">
        <v>80.561509999999998</v>
      </c>
      <c r="AH377" s="175">
        <v>6542.2302099999997</v>
      </c>
      <c r="AI377" s="174" t="s">
        <v>1728</v>
      </c>
      <c r="AJ377" s="174" t="s">
        <v>767</v>
      </c>
      <c r="AK377" s="174" t="str">
        <f t="shared" si="51"/>
        <v>MB</v>
      </c>
    </row>
    <row r="378" spans="26:37" ht="15" x14ac:dyDescent="0.25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2590</v>
      </c>
      <c r="AE378" s="242">
        <v>392.05802</v>
      </c>
      <c r="AF378" s="175">
        <v>15.276</v>
      </c>
      <c r="AG378" s="174">
        <v>80.561509999999998</v>
      </c>
      <c r="AH378" s="175">
        <v>6542.2302099999997</v>
      </c>
      <c r="AI378" s="174" t="s">
        <v>1728</v>
      </c>
      <c r="AJ378" s="174" t="s">
        <v>767</v>
      </c>
      <c r="AK378" s="174" t="str">
        <f t="shared" si="51"/>
        <v>MB</v>
      </c>
    </row>
    <row r="379" spans="26:37" ht="15" x14ac:dyDescent="0.25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2591</v>
      </c>
      <c r="AE379" s="242">
        <v>392.05802</v>
      </c>
      <c r="AF379" s="175">
        <v>15.276</v>
      </c>
      <c r="AG379" s="174">
        <v>80.561509999999998</v>
      </c>
      <c r="AH379" s="175">
        <v>6542.2302099999997</v>
      </c>
      <c r="AI379" s="174" t="s">
        <v>1728</v>
      </c>
      <c r="AJ379" s="174" t="s">
        <v>767</v>
      </c>
      <c r="AK379" s="174" t="str">
        <f t="shared" si="51"/>
        <v>MB</v>
      </c>
    </row>
    <row r="380" spans="26:37" ht="15" x14ac:dyDescent="0.25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2592</v>
      </c>
      <c r="AE380" s="242">
        <v>392.05802</v>
      </c>
      <c r="AF380" s="175">
        <v>15.276</v>
      </c>
      <c r="AG380" s="174">
        <v>80.561509999999998</v>
      </c>
      <c r="AH380" s="175">
        <v>6542.2302099999997</v>
      </c>
      <c r="AI380" s="174" t="s">
        <v>1728</v>
      </c>
      <c r="AJ380" s="174" t="s">
        <v>767</v>
      </c>
      <c r="AK380" s="174" t="str">
        <f t="shared" si="51"/>
        <v>MB</v>
      </c>
    </row>
    <row r="381" spans="26:37" ht="15" x14ac:dyDescent="0.25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2593</v>
      </c>
      <c r="AE381" s="242">
        <v>392.05802</v>
      </c>
      <c r="AF381" s="175">
        <v>15.276</v>
      </c>
      <c r="AG381" s="174">
        <v>80.561509999999998</v>
      </c>
      <c r="AH381" s="175">
        <v>6542.2302099999997</v>
      </c>
      <c r="AI381" s="174" t="s">
        <v>1728</v>
      </c>
      <c r="AJ381" s="174" t="s">
        <v>767</v>
      </c>
      <c r="AK381" s="174" t="str">
        <f t="shared" si="51"/>
        <v>MB</v>
      </c>
    </row>
    <row r="382" spans="26:37" ht="15" x14ac:dyDescent="0.25">
      <c r="Z382" s="173" t="s">
        <v>473</v>
      </c>
      <c r="AA382" s="175" t="s">
        <v>2594</v>
      </c>
      <c r="AB382" s="174" t="s">
        <v>1169</v>
      </c>
      <c r="AC382" s="174" t="s">
        <v>1514</v>
      </c>
      <c r="AD382" s="174" t="s">
        <v>2595</v>
      </c>
      <c r="AE382" s="242">
        <v>301.21104000000003</v>
      </c>
      <c r="AF382" s="175">
        <v>12.205819999999999</v>
      </c>
      <c r="AG382" s="174">
        <v>63.75076</v>
      </c>
      <c r="AH382" s="175">
        <v>5026.2763999999997</v>
      </c>
      <c r="AI382" s="174" t="s">
        <v>1728</v>
      </c>
      <c r="AJ382" s="174" t="s">
        <v>767</v>
      </c>
      <c r="AK382" s="174" t="str">
        <f t="shared" si="51"/>
        <v>MB</v>
      </c>
    </row>
    <row r="383" spans="26:37" ht="15" x14ac:dyDescent="0.25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2596</v>
      </c>
      <c r="AE383" s="242">
        <v>301.21104000000003</v>
      </c>
      <c r="AF383" s="175">
        <v>12.205819999999999</v>
      </c>
      <c r="AG383" s="174">
        <v>63.75076</v>
      </c>
      <c r="AH383" s="175">
        <v>5026.2763999999997</v>
      </c>
      <c r="AI383" s="174" t="s">
        <v>1728</v>
      </c>
      <c r="AJ383" s="174" t="s">
        <v>767</v>
      </c>
      <c r="AK383" s="174" t="str">
        <f t="shared" si="51"/>
        <v>MB</v>
      </c>
    </row>
    <row r="384" spans="26:37" ht="15" x14ac:dyDescent="0.25">
      <c r="Z384" s="173" t="s">
        <v>457</v>
      </c>
      <c r="AA384" s="175" t="s">
        <v>2597</v>
      </c>
      <c r="AB384" s="174" t="s">
        <v>944</v>
      </c>
      <c r="AC384" s="174" t="s">
        <v>1432</v>
      </c>
      <c r="AD384" s="174" t="s">
        <v>2598</v>
      </c>
      <c r="AE384" s="242">
        <v>41.377220000000001</v>
      </c>
      <c r="AF384" s="175">
        <v>1.61242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PAR.</v>
      </c>
    </row>
    <row r="385" spans="26:37" ht="15" x14ac:dyDescent="0.25">
      <c r="Z385" s="173" t="s">
        <v>456</v>
      </c>
      <c r="AA385" s="175" t="s">
        <v>2599</v>
      </c>
      <c r="AB385" s="174" t="s">
        <v>897</v>
      </c>
      <c r="AC385" s="174" t="s">
        <v>1416</v>
      </c>
      <c r="AD385" s="174" t="s">
        <v>2600</v>
      </c>
      <c r="AE385" s="242">
        <v>41.377220000000001</v>
      </c>
      <c r="AF385" s="175">
        <v>1.61242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PAR.</v>
      </c>
    </row>
    <row r="386" spans="26:37" ht="15" x14ac:dyDescent="0.25">
      <c r="Z386" s="173" t="s">
        <v>459</v>
      </c>
      <c r="AA386" s="175" t="s">
        <v>2601</v>
      </c>
      <c r="AB386" s="174" t="s">
        <v>2602</v>
      </c>
      <c r="AC386" s="174" t="s">
        <v>1384</v>
      </c>
      <c r="AD386" s="174" t="s">
        <v>2603</v>
      </c>
      <c r="AE386" s="242">
        <v>41.377220000000001</v>
      </c>
      <c r="AF386" s="175">
        <v>1.61242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PAR.</v>
      </c>
    </row>
    <row r="387" spans="26:37" ht="15" x14ac:dyDescent="0.25">
      <c r="Z387" s="173" t="s">
        <v>458</v>
      </c>
      <c r="AA387" s="175" t="s">
        <v>2604</v>
      </c>
      <c r="AB387" s="174" t="s">
        <v>869</v>
      </c>
      <c r="AC387" s="174" t="s">
        <v>1405</v>
      </c>
      <c r="AD387" s="174" t="s">
        <v>2605</v>
      </c>
      <c r="AE387" s="242">
        <v>41.377220000000001</v>
      </c>
      <c r="AF387" s="175">
        <v>1.61242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PAR.</v>
      </c>
    </row>
    <row r="388" spans="26:37" ht="15" x14ac:dyDescent="0.25">
      <c r="Z388" s="173" t="s">
        <v>726</v>
      </c>
      <c r="AA388" s="175" t="s">
        <v>2606</v>
      </c>
      <c r="AB388" s="174" t="s">
        <v>728</v>
      </c>
      <c r="AC388" s="174" t="s">
        <v>1367</v>
      </c>
      <c r="AD388" s="174" t="s">
        <v>2607</v>
      </c>
      <c r="AE388" s="242">
        <v>43.159329999999997</v>
      </c>
      <c r="AF388" s="175">
        <v>1.68167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PAR.</v>
      </c>
    </row>
    <row r="389" spans="26:37" ht="15" x14ac:dyDescent="0.25">
      <c r="Z389" s="173" t="s">
        <v>730</v>
      </c>
      <c r="AA389" s="175" t="s">
        <v>2608</v>
      </c>
      <c r="AB389" s="174" t="s">
        <v>732</v>
      </c>
      <c r="AC389" s="174" t="s">
        <v>1368</v>
      </c>
      <c r="AD389" s="174" t="s">
        <v>2609</v>
      </c>
      <c r="AE389" s="242">
        <v>43.159329999999997</v>
      </c>
      <c r="AF389" s="175">
        <v>1.68167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PAR.</v>
      </c>
    </row>
    <row r="390" spans="26:37" ht="15" x14ac:dyDescent="0.25">
      <c r="Z390" s="173" t="s">
        <v>734</v>
      </c>
      <c r="AA390" s="175" t="s">
        <v>2610</v>
      </c>
      <c r="AB390" s="174" t="s">
        <v>2611</v>
      </c>
      <c r="AC390" s="174" t="s">
        <v>1369</v>
      </c>
      <c r="AD390" s="174" t="s">
        <v>2091</v>
      </c>
      <c r="AE390" s="242">
        <v>44.45411</v>
      </c>
      <c r="AF390" s="175">
        <v>1.7321200000000001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1925</v>
      </c>
      <c r="AK390" s="174" t="str">
        <f t="shared" si="51"/>
        <v>PAR.</v>
      </c>
    </row>
    <row r="391" spans="26:37" ht="15" x14ac:dyDescent="0.25">
      <c r="Z391" s="173" t="s">
        <v>737</v>
      </c>
      <c r="AA391" s="175" t="s">
        <v>2612</v>
      </c>
      <c r="AB391" s="174" t="s">
        <v>739</v>
      </c>
      <c r="AC391" s="174" t="s">
        <v>1370</v>
      </c>
      <c r="AD391" s="174" t="s">
        <v>2613</v>
      </c>
      <c r="AE391" s="242">
        <v>43.159329999999997</v>
      </c>
      <c r="AF391" s="175">
        <v>1.68167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PAR.</v>
      </c>
    </row>
    <row r="392" spans="26:37" ht="15" x14ac:dyDescent="0.25">
      <c r="Z392" s="173" t="s">
        <v>461</v>
      </c>
      <c r="AA392" s="175" t="s">
        <v>2614</v>
      </c>
      <c r="AB392" s="174" t="s">
        <v>1173</v>
      </c>
      <c r="AC392" s="174" t="s">
        <v>1516</v>
      </c>
      <c r="AD392" s="174" t="s">
        <v>2615</v>
      </c>
      <c r="AE392" s="242">
        <v>717.81330000000003</v>
      </c>
      <c r="AF392" s="175">
        <v>27.968620000000001</v>
      </c>
      <c r="AG392" s="174">
        <v>151.92384000000001</v>
      </c>
      <c r="AH392" s="175">
        <v>11978.07393</v>
      </c>
      <c r="AI392" s="174" t="s">
        <v>1728</v>
      </c>
      <c r="AJ392" s="174" t="s">
        <v>630</v>
      </c>
      <c r="AK392" s="174" t="str">
        <f t="shared" si="51"/>
        <v>MB</v>
      </c>
    </row>
    <row r="393" spans="26:37" ht="15" x14ac:dyDescent="0.25">
      <c r="Z393" s="173" t="s">
        <v>446</v>
      </c>
      <c r="AA393" s="175" t="s">
        <v>2616</v>
      </c>
      <c r="AB393" s="174" t="s">
        <v>1176</v>
      </c>
      <c r="AC393" s="174" t="s">
        <v>1517</v>
      </c>
      <c r="AD393" s="174" t="s">
        <v>2617</v>
      </c>
      <c r="AE393" s="242">
        <v>31.144629999999999</v>
      </c>
      <c r="AF393" s="175">
        <v>1.2136400000000001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PAR.</v>
      </c>
    </row>
    <row r="394" spans="26:37" ht="15" x14ac:dyDescent="0.25">
      <c r="Z394" s="173" t="s">
        <v>460</v>
      </c>
      <c r="AA394" s="175" t="s">
        <v>2618</v>
      </c>
      <c r="AB394" s="174" t="s">
        <v>964</v>
      </c>
      <c r="AC394" s="174" t="s">
        <v>1440</v>
      </c>
      <c r="AD394" s="174" t="s">
        <v>2619</v>
      </c>
      <c r="AE394" s="242">
        <v>805.70740999999998</v>
      </c>
      <c r="AF394" s="175">
        <v>31.393689999999999</v>
      </c>
      <c r="AG394" s="174">
        <v>165.55967000000001</v>
      </c>
      <c r="AH394" s="175">
        <v>13444.753360000001</v>
      </c>
      <c r="AI394" s="174" t="s">
        <v>1728</v>
      </c>
      <c r="AJ394" s="174" t="s">
        <v>767</v>
      </c>
      <c r="AK394" s="174" t="str">
        <f t="shared" si="51"/>
        <v>MB</v>
      </c>
    </row>
    <row r="395" spans="26:37" ht="15" x14ac:dyDescent="0.25">
      <c r="Z395" s="173" t="s">
        <v>462</v>
      </c>
      <c r="AA395" s="175" t="s">
        <v>2620</v>
      </c>
      <c r="AB395" s="174" t="s">
        <v>965</v>
      </c>
      <c r="AC395" s="174" t="s">
        <v>1441</v>
      </c>
      <c r="AD395" s="174" t="s">
        <v>2621</v>
      </c>
      <c r="AE395" s="242">
        <v>1092.83195</v>
      </c>
      <c r="AF395" s="175">
        <v>42.580970000000001</v>
      </c>
      <c r="AG395" s="174">
        <v>224.55905000000001</v>
      </c>
      <c r="AH395" s="175">
        <v>18235.969939999999</v>
      </c>
      <c r="AI395" s="174" t="s">
        <v>1728</v>
      </c>
      <c r="AJ395" s="174" t="s">
        <v>767</v>
      </c>
      <c r="AK395" s="174" t="str">
        <f t="shared" si="51"/>
        <v>MB</v>
      </c>
    </row>
    <row r="396" spans="26:37" ht="15" x14ac:dyDescent="0.25">
      <c r="Z396" s="173" t="s">
        <v>447</v>
      </c>
      <c r="AA396" s="175" t="s">
        <v>2622</v>
      </c>
      <c r="AB396" s="174" t="s">
        <v>2623</v>
      </c>
      <c r="AC396" s="174" t="s">
        <v>1442</v>
      </c>
      <c r="AD396" s="174" t="s">
        <v>2624</v>
      </c>
      <c r="AE396" s="242">
        <v>47.38035</v>
      </c>
      <c r="AF396" s="175">
        <v>1.8462499999999999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PAR.</v>
      </c>
    </row>
    <row r="397" spans="26:37" ht="15" x14ac:dyDescent="0.25">
      <c r="Z397" s="173" t="s">
        <v>471</v>
      </c>
      <c r="AA397" s="175" t="s">
        <v>2625</v>
      </c>
      <c r="AB397" s="174" t="s">
        <v>1037</v>
      </c>
      <c r="AC397" s="174" t="s">
        <v>1458</v>
      </c>
      <c r="AD397" s="174" t="s">
        <v>2626</v>
      </c>
      <c r="AE397" s="242">
        <v>870.54903999999999</v>
      </c>
      <c r="AF397" s="175">
        <v>33.919820000000001</v>
      </c>
      <c r="AG397" s="174">
        <v>178.88355999999999</v>
      </c>
      <c r="AH397" s="175">
        <v>14526.7588</v>
      </c>
      <c r="AI397" s="174" t="s">
        <v>1728</v>
      </c>
      <c r="AJ397" s="174" t="s">
        <v>767</v>
      </c>
      <c r="AK397" s="174" t="str">
        <f t="shared" si="51"/>
        <v>MB</v>
      </c>
    </row>
    <row r="398" spans="26:37" ht="15" x14ac:dyDescent="0.25">
      <c r="Z398" s="173" t="s">
        <v>510</v>
      </c>
      <c r="AA398" s="175" t="s">
        <v>2627</v>
      </c>
      <c r="AB398" s="174" t="s">
        <v>1111</v>
      </c>
      <c r="AC398" s="174" t="s">
        <v>1490</v>
      </c>
      <c r="AD398" s="174" t="s">
        <v>2628</v>
      </c>
      <c r="AE398" s="242">
        <v>128.26116999999999</v>
      </c>
      <c r="AF398" s="175">
        <v>4.9974499999999997</v>
      </c>
      <c r="AG398" s="174">
        <v>26.355560000000001</v>
      </c>
      <c r="AH398" s="175">
        <v>2140.2805499999999</v>
      </c>
      <c r="AI398" s="174" t="s">
        <v>1728</v>
      </c>
      <c r="AJ398" s="174" t="s">
        <v>767</v>
      </c>
      <c r="AK398" s="174" t="str">
        <f t="shared" si="51"/>
        <v>MB</v>
      </c>
    </row>
    <row r="399" spans="26:37" ht="15" x14ac:dyDescent="0.25">
      <c r="Z399" s="173" t="s">
        <v>508</v>
      </c>
      <c r="AA399" s="175" t="s">
        <v>2629</v>
      </c>
      <c r="AB399" s="174" t="s">
        <v>1113</v>
      </c>
      <c r="AC399" s="174" t="s">
        <v>1491</v>
      </c>
      <c r="AD399" s="174" t="s">
        <v>2630</v>
      </c>
      <c r="AE399" s="242">
        <v>128.26116999999999</v>
      </c>
      <c r="AF399" s="175">
        <v>4.9974499999999997</v>
      </c>
      <c r="AG399" s="174">
        <v>26.355560000000001</v>
      </c>
      <c r="AH399" s="175">
        <v>2140.2805499999999</v>
      </c>
      <c r="AI399" s="174" t="s">
        <v>1728</v>
      </c>
      <c r="AJ399" s="174" t="s">
        <v>767</v>
      </c>
      <c r="AK399" s="174" t="str">
        <f t="shared" si="51"/>
        <v>MB</v>
      </c>
    </row>
    <row r="400" spans="26:37" ht="15" x14ac:dyDescent="0.25">
      <c r="Z400" s="173" t="s">
        <v>513</v>
      </c>
      <c r="AA400" s="175" t="s">
        <v>2631</v>
      </c>
      <c r="AB400" s="174" t="s">
        <v>2632</v>
      </c>
      <c r="AC400" s="174" t="s">
        <v>1492</v>
      </c>
      <c r="AD400" s="174" t="s">
        <v>2633</v>
      </c>
      <c r="AE400" s="242">
        <v>128.26116999999999</v>
      </c>
      <c r="AF400" s="175">
        <v>4.9974499999999997</v>
      </c>
      <c r="AG400" s="174">
        <v>26.355560000000001</v>
      </c>
      <c r="AH400" s="175">
        <v>2140.2805499999999</v>
      </c>
      <c r="AI400" s="174" t="s">
        <v>1728</v>
      </c>
      <c r="AJ400" s="174" t="s">
        <v>767</v>
      </c>
      <c r="AK400" s="174" t="str">
        <f t="shared" si="51"/>
        <v>MB</v>
      </c>
    </row>
    <row r="401" spans="26:37" ht="15" x14ac:dyDescent="0.25">
      <c r="Z401" s="173" t="s">
        <v>511</v>
      </c>
      <c r="AA401" s="175" t="s">
        <v>2634</v>
      </c>
      <c r="AB401" s="174" t="s">
        <v>1117</v>
      </c>
      <c r="AC401" s="174" t="s">
        <v>1493</v>
      </c>
      <c r="AD401" s="174" t="s">
        <v>2635</v>
      </c>
      <c r="AE401" s="242">
        <v>216.88197</v>
      </c>
      <c r="AF401" s="175">
        <v>8.45059</v>
      </c>
      <c r="AG401" s="174">
        <v>44.565689999999996</v>
      </c>
      <c r="AH401" s="175">
        <v>3619.0863100000001</v>
      </c>
      <c r="AI401" s="174" t="s">
        <v>1728</v>
      </c>
      <c r="AJ401" s="174" t="s">
        <v>767</v>
      </c>
      <c r="AK401" s="174" t="str">
        <f t="shared" si="51"/>
        <v>MB</v>
      </c>
    </row>
    <row r="402" spans="26:37" ht="15" x14ac:dyDescent="0.25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5" x14ac:dyDescent="0.25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2636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1728</v>
      </c>
      <c r="AJ403" s="174" t="s">
        <v>630</v>
      </c>
      <c r="AK403" s="174" t="str">
        <f t="shared" si="51"/>
        <v>MB</v>
      </c>
    </row>
    <row r="404" spans="26:37" ht="15" x14ac:dyDescent="0.25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5" x14ac:dyDescent="0.25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5" x14ac:dyDescent="0.25">
      <c r="Z406" s="173" t="s">
        <v>470</v>
      </c>
      <c r="AA406" s="175" t="s">
        <v>2637</v>
      </c>
      <c r="AB406" s="174" t="s">
        <v>2638</v>
      </c>
      <c r="AC406" s="174" t="s">
        <v>1506</v>
      </c>
      <c r="AD406" s="174" t="s">
        <v>2639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1728</v>
      </c>
      <c r="AJ406" s="174" t="s">
        <v>767</v>
      </c>
      <c r="AK406" s="174" t="str">
        <f t="shared" si="51"/>
        <v>MB</v>
      </c>
    </row>
    <row r="407" spans="26:37" ht="15" x14ac:dyDescent="0.25">
      <c r="Z407" s="173" t="s">
        <v>450</v>
      </c>
      <c r="AA407" s="175" t="s">
        <v>2640</v>
      </c>
      <c r="AB407" s="174" t="s">
        <v>1146</v>
      </c>
      <c r="AC407" s="174" t="s">
        <v>1504</v>
      </c>
      <c r="AD407" s="174" t="s">
        <v>2641</v>
      </c>
      <c r="AE407" s="242">
        <v>63.310139999999997</v>
      </c>
      <c r="AF407" s="175">
        <v>2.4668600000000001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PAR.</v>
      </c>
    </row>
    <row r="408" spans="26:37" ht="15" x14ac:dyDescent="0.25">
      <c r="Z408" s="173" t="s">
        <v>449</v>
      </c>
      <c r="AA408" s="175" t="s">
        <v>2642</v>
      </c>
      <c r="AB408" s="174" t="s">
        <v>2643</v>
      </c>
      <c r="AC408" s="174" t="s">
        <v>1505</v>
      </c>
      <c r="AD408" s="174" t="s">
        <v>2644</v>
      </c>
      <c r="AE408" s="242">
        <v>63.310139999999997</v>
      </c>
      <c r="AF408" s="175">
        <v>2.4668600000000001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PAR.</v>
      </c>
    </row>
    <row r="409" spans="26:37" ht="15" x14ac:dyDescent="0.25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5" x14ac:dyDescent="0.25">
      <c r="Z410" s="173" t="s">
        <v>554</v>
      </c>
      <c r="AA410" s="175" t="s">
        <v>2645</v>
      </c>
      <c r="AB410" s="174" t="s">
        <v>1859</v>
      </c>
      <c r="AC410" s="174" t="s">
        <v>1396</v>
      </c>
      <c r="AD410" s="174" t="s">
        <v>2646</v>
      </c>
      <c r="AE410" s="242">
        <v>205.27258</v>
      </c>
      <c r="AF410" s="175">
        <v>7.9984400000000004</v>
      </c>
      <c r="AG410" s="174">
        <v>42.180149999999998</v>
      </c>
      <c r="AH410" s="175">
        <v>3425.3617199999999</v>
      </c>
      <c r="AI410" s="174" t="s">
        <v>1728</v>
      </c>
      <c r="AJ410" s="174" t="s">
        <v>767</v>
      </c>
      <c r="AK410" s="174" t="str">
        <f t="shared" si="51"/>
        <v>MB</v>
      </c>
    </row>
    <row r="411" spans="26:37" ht="15" x14ac:dyDescent="0.25">
      <c r="Z411" s="173" t="s">
        <v>552</v>
      </c>
      <c r="AA411" s="175" t="s">
        <v>2647</v>
      </c>
      <c r="AB411" s="174" t="s">
        <v>2648</v>
      </c>
      <c r="AC411" s="174" t="s">
        <v>1397</v>
      </c>
      <c r="AD411" s="174" t="s">
        <v>2649</v>
      </c>
      <c r="AE411" s="242">
        <v>205.27258</v>
      </c>
      <c r="AF411" s="175">
        <v>7.9984400000000004</v>
      </c>
      <c r="AG411" s="174">
        <v>42.180149999999998</v>
      </c>
      <c r="AH411" s="175">
        <v>3425.3617199999999</v>
      </c>
      <c r="AI411" s="174" t="s">
        <v>1728</v>
      </c>
      <c r="AJ411" s="174" t="s">
        <v>767</v>
      </c>
      <c r="AK411" s="174" t="str">
        <f t="shared" si="51"/>
        <v>MB</v>
      </c>
    </row>
    <row r="412" spans="26:37" ht="15" x14ac:dyDescent="0.25">
      <c r="Z412" s="173" t="s">
        <v>551</v>
      </c>
      <c r="AA412" s="175" t="s">
        <v>2650</v>
      </c>
      <c r="AB412" s="174" t="s">
        <v>2651</v>
      </c>
      <c r="AC412" s="174" t="s">
        <v>1398</v>
      </c>
      <c r="AD412" s="174" t="s">
        <v>2652</v>
      </c>
      <c r="AE412" s="242">
        <v>205.27258</v>
      </c>
      <c r="AF412" s="175">
        <v>7.9984400000000004</v>
      </c>
      <c r="AG412" s="174">
        <v>42.180149999999998</v>
      </c>
      <c r="AH412" s="175">
        <v>3425.3617199999999</v>
      </c>
      <c r="AI412" s="174" t="s">
        <v>1728</v>
      </c>
      <c r="AJ412" s="174" t="s">
        <v>767</v>
      </c>
      <c r="AK412" s="174" t="str">
        <f t="shared" si="51"/>
        <v>MB</v>
      </c>
    </row>
    <row r="413" spans="26:37" ht="15" x14ac:dyDescent="0.25">
      <c r="Z413" s="173" t="s">
        <v>553</v>
      </c>
      <c r="AA413" s="175" t="s">
        <v>2653</v>
      </c>
      <c r="AB413" s="174" t="s">
        <v>2654</v>
      </c>
      <c r="AC413" s="174" t="s">
        <v>1399</v>
      </c>
      <c r="AD413" s="174" t="s">
        <v>2655</v>
      </c>
      <c r="AE413" s="242">
        <v>287.11111</v>
      </c>
      <c r="AF413" s="175">
        <v>11.18676</v>
      </c>
      <c r="AG413" s="174">
        <v>58.996630000000003</v>
      </c>
      <c r="AH413" s="175">
        <v>4790.9924700000001</v>
      </c>
      <c r="AI413" s="174" t="s">
        <v>1728</v>
      </c>
      <c r="AJ413" s="174" t="s">
        <v>767</v>
      </c>
      <c r="AK413" s="174" t="str">
        <f t="shared" si="51"/>
        <v>MB</v>
      </c>
    </row>
    <row r="414" spans="26:37" ht="15" x14ac:dyDescent="0.25">
      <c r="Z414" s="173" t="s">
        <v>557</v>
      </c>
      <c r="AA414" s="175" t="s">
        <v>2656</v>
      </c>
      <c r="AB414" s="174" t="s">
        <v>2657</v>
      </c>
      <c r="AC414" s="174" t="s">
        <v>1512</v>
      </c>
      <c r="AD414" s="174" t="s">
        <v>2658</v>
      </c>
      <c r="AE414" s="242">
        <v>287.11111</v>
      </c>
      <c r="AF414" s="175">
        <v>11.18676</v>
      </c>
      <c r="AG414" s="174">
        <v>58.996630000000003</v>
      </c>
      <c r="AH414" s="175">
        <v>4790.9924700000001</v>
      </c>
      <c r="AI414" s="174" t="s">
        <v>1728</v>
      </c>
      <c r="AJ414" s="174" t="s">
        <v>767</v>
      </c>
      <c r="AK414" s="174" t="str">
        <f t="shared" si="51"/>
        <v>MB</v>
      </c>
    </row>
    <row r="415" spans="26:37" ht="15" x14ac:dyDescent="0.25">
      <c r="Z415" s="173" t="s">
        <v>555</v>
      </c>
      <c r="AA415" s="175" t="s">
        <v>2659</v>
      </c>
      <c r="AB415" s="174" t="s">
        <v>973</v>
      </c>
      <c r="AC415" s="174" t="s">
        <v>1444</v>
      </c>
      <c r="AD415" s="174" t="s">
        <v>2660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1728</v>
      </c>
      <c r="AJ415" s="174" t="s">
        <v>767</v>
      </c>
      <c r="AK415" s="174" t="str">
        <f t="shared" si="51"/>
        <v>MB</v>
      </c>
    </row>
    <row r="416" spans="26:37" ht="15" x14ac:dyDescent="0.25">
      <c r="Z416" s="376" t="s">
        <v>556</v>
      </c>
      <c r="AA416" s="175" t="s">
        <v>2122</v>
      </c>
      <c r="AB416" s="174" t="s">
        <v>786</v>
      </c>
      <c r="AC416" s="174" t="s">
        <v>2124</v>
      </c>
      <c r="AD416" s="174" t="s">
        <v>2661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1728</v>
      </c>
      <c r="AJ416" s="174" t="s">
        <v>767</v>
      </c>
      <c r="AK416" s="174" t="str">
        <f t="shared" si="51"/>
        <v>MB</v>
      </c>
    </row>
    <row r="417" spans="26:37" ht="15" x14ac:dyDescent="0.25">
      <c r="Z417" s="173" t="s">
        <v>452</v>
      </c>
      <c r="AA417" s="175" t="s">
        <v>2662</v>
      </c>
      <c r="AB417" s="174" t="s">
        <v>788</v>
      </c>
      <c r="AC417" s="174" t="s">
        <v>1378</v>
      </c>
      <c r="AD417" s="174" t="s">
        <v>2663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PAR.</v>
      </c>
    </row>
    <row r="418" spans="26:37" ht="15" x14ac:dyDescent="0.25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2664</v>
      </c>
      <c r="AE418" s="242">
        <v>222.25552999999999</v>
      </c>
      <c r="AF418" s="175">
        <v>8.66005</v>
      </c>
      <c r="AG418" s="174">
        <v>45.669879999999999</v>
      </c>
      <c r="AH418" s="175">
        <v>3708.7543999999998</v>
      </c>
      <c r="AI418" s="174" t="s">
        <v>1728</v>
      </c>
      <c r="AJ418" s="174" t="s">
        <v>767</v>
      </c>
      <c r="AK418" s="174" t="str">
        <f t="shared" si="51"/>
        <v>MB</v>
      </c>
    </row>
    <row r="419" spans="26:37" ht="15" x14ac:dyDescent="0.25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2665</v>
      </c>
      <c r="AE419" s="242">
        <v>222.25552999999999</v>
      </c>
      <c r="AF419" s="175">
        <v>8.66005</v>
      </c>
      <c r="AG419" s="174">
        <v>45.669879999999999</v>
      </c>
      <c r="AH419" s="175">
        <v>3708.7543999999998</v>
      </c>
      <c r="AI419" s="174" t="s">
        <v>1728</v>
      </c>
      <c r="AJ419" s="174" t="s">
        <v>767</v>
      </c>
      <c r="AK419" s="174" t="str">
        <f t="shared" si="51"/>
        <v>MB</v>
      </c>
    </row>
    <row r="420" spans="26:37" ht="15" x14ac:dyDescent="0.25">
      <c r="Z420" s="173" t="s">
        <v>486</v>
      </c>
      <c r="AA420" s="175" t="s">
        <v>1022</v>
      </c>
      <c r="AB420" s="174" t="s">
        <v>2666</v>
      </c>
      <c r="AC420" s="174" t="s">
        <v>1453</v>
      </c>
      <c r="AD420" s="174" t="s">
        <v>2667</v>
      </c>
      <c r="AE420" s="242">
        <v>222.25552999999999</v>
      </c>
      <c r="AF420" s="175">
        <v>8.66005</v>
      </c>
      <c r="AG420" s="174">
        <v>45.669879999999999</v>
      </c>
      <c r="AH420" s="175">
        <v>3708.7543999999998</v>
      </c>
      <c r="AI420" s="174" t="s">
        <v>1728</v>
      </c>
      <c r="AJ420" s="174" t="s">
        <v>767</v>
      </c>
      <c r="AK420" s="174" t="str">
        <f t="shared" si="51"/>
        <v>MB</v>
      </c>
    </row>
    <row r="421" spans="26:37" ht="15" x14ac:dyDescent="0.25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2668</v>
      </c>
      <c r="AE421" s="242">
        <v>300.98987</v>
      </c>
      <c r="AF421" s="175">
        <v>11.727550000000001</v>
      </c>
      <c r="AG421" s="174">
        <v>61.848480000000002</v>
      </c>
      <c r="AH421" s="175">
        <v>5022.5858099999996</v>
      </c>
      <c r="AI421" s="174" t="s">
        <v>1728</v>
      </c>
      <c r="AJ421" s="174" t="s">
        <v>767</v>
      </c>
      <c r="AK421" s="174" t="str">
        <f t="shared" si="51"/>
        <v>MB</v>
      </c>
    </row>
    <row r="422" spans="26:37" ht="15" x14ac:dyDescent="0.25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2669</v>
      </c>
      <c r="AE422" s="242">
        <v>300.98987</v>
      </c>
      <c r="AF422" s="175">
        <v>11.727550000000001</v>
      </c>
      <c r="AG422" s="174">
        <v>61.848480000000002</v>
      </c>
      <c r="AH422" s="175">
        <v>5022.5858099999996</v>
      </c>
      <c r="AI422" s="174" t="s">
        <v>1728</v>
      </c>
      <c r="AJ422" s="174" t="s">
        <v>767</v>
      </c>
      <c r="AK422" s="174" t="str">
        <f t="shared" si="51"/>
        <v>MB</v>
      </c>
    </row>
    <row r="423" spans="26:37" ht="15" x14ac:dyDescent="0.25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2670</v>
      </c>
      <c r="AE423" s="242">
        <v>300.98987</v>
      </c>
      <c r="AF423" s="175">
        <v>11.727550000000001</v>
      </c>
      <c r="AG423" s="174">
        <v>61.848480000000002</v>
      </c>
      <c r="AH423" s="175">
        <v>5022.5858099999996</v>
      </c>
      <c r="AI423" s="174" t="s">
        <v>1728</v>
      </c>
      <c r="AJ423" s="174" t="s">
        <v>767</v>
      </c>
      <c r="AK423" s="174" t="str">
        <f t="shared" si="51"/>
        <v>MB</v>
      </c>
    </row>
    <row r="424" spans="26:37" ht="15" x14ac:dyDescent="0.25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2671</v>
      </c>
      <c r="AE424" s="242">
        <v>300.98987</v>
      </c>
      <c r="AF424" s="175">
        <v>11.727550000000001</v>
      </c>
      <c r="AG424" s="174">
        <v>61.848480000000002</v>
      </c>
      <c r="AH424" s="175">
        <v>5022.5858099999996</v>
      </c>
      <c r="AI424" s="174" t="s">
        <v>1728</v>
      </c>
      <c r="AJ424" s="174" t="s">
        <v>767</v>
      </c>
      <c r="AK424" s="174" t="str">
        <f t="shared" si="51"/>
        <v>MB</v>
      </c>
    </row>
    <row r="425" spans="26:37" ht="15" x14ac:dyDescent="0.25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2672</v>
      </c>
      <c r="AE425" s="242">
        <v>300.98987</v>
      </c>
      <c r="AF425" s="175">
        <v>11.727550000000001</v>
      </c>
      <c r="AG425" s="174">
        <v>61.848480000000002</v>
      </c>
      <c r="AH425" s="175">
        <v>5022.5858099999996</v>
      </c>
      <c r="AI425" s="174" t="s">
        <v>1728</v>
      </c>
      <c r="AJ425" s="174" t="s">
        <v>767</v>
      </c>
      <c r="AK425" s="174" t="str">
        <f t="shared" si="51"/>
        <v>MB</v>
      </c>
    </row>
    <row r="426" spans="26:37" ht="15" x14ac:dyDescent="0.25">
      <c r="Z426" s="173" t="s">
        <v>487</v>
      </c>
      <c r="AA426" s="175" t="s">
        <v>2673</v>
      </c>
      <c r="AB426" s="174" t="s">
        <v>825</v>
      </c>
      <c r="AC426" s="174" t="s">
        <v>1388</v>
      </c>
      <c r="AD426" s="174" t="s">
        <v>2674</v>
      </c>
      <c r="AE426" s="242">
        <v>231.24844999999999</v>
      </c>
      <c r="AF426" s="175">
        <v>9.3707600000000006</v>
      </c>
      <c r="AG426" s="174">
        <v>48.943300000000001</v>
      </c>
      <c r="AH426" s="175">
        <v>3858.8182200000001</v>
      </c>
      <c r="AI426" s="174" t="s">
        <v>1728</v>
      </c>
      <c r="AJ426" s="174" t="s">
        <v>767</v>
      </c>
      <c r="AK426" s="174" t="str">
        <f t="shared" si="51"/>
        <v>MB</v>
      </c>
    </row>
    <row r="427" spans="26:37" ht="15" x14ac:dyDescent="0.25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2675</v>
      </c>
      <c r="AE427" s="242">
        <v>231.24844999999999</v>
      </c>
      <c r="AF427" s="175">
        <v>9.3707600000000006</v>
      </c>
      <c r="AG427" s="174">
        <v>48.943300000000001</v>
      </c>
      <c r="AH427" s="175">
        <v>3858.8182200000001</v>
      </c>
      <c r="AI427" s="174" t="s">
        <v>1728</v>
      </c>
      <c r="AJ427" s="174" t="s">
        <v>767</v>
      </c>
      <c r="AK427" s="174" t="str">
        <f t="shared" si="51"/>
        <v>MB</v>
      </c>
    </row>
    <row r="428" spans="26:37" ht="15" x14ac:dyDescent="0.25">
      <c r="Z428" s="173" t="s">
        <v>476</v>
      </c>
      <c r="AA428" s="175" t="s">
        <v>2676</v>
      </c>
      <c r="AB428" s="174" t="s">
        <v>2677</v>
      </c>
      <c r="AC428" s="174" t="s">
        <v>1509</v>
      </c>
      <c r="AD428" s="174" t="s">
        <v>2678</v>
      </c>
      <c r="AE428" s="242">
        <v>558.77020000000005</v>
      </c>
      <c r="AF428" s="175">
        <v>21.771719999999998</v>
      </c>
      <c r="AG428" s="174">
        <v>114.81813</v>
      </c>
      <c r="AH428" s="175">
        <v>9324.1385699999992</v>
      </c>
      <c r="AI428" s="174" t="s">
        <v>1728</v>
      </c>
      <c r="AJ428" s="174" t="s">
        <v>767</v>
      </c>
      <c r="AK428" s="174" t="str">
        <f t="shared" si="51"/>
        <v>MB</v>
      </c>
    </row>
    <row r="429" spans="26:37" ht="15" x14ac:dyDescent="0.25">
      <c r="Z429" s="173" t="s">
        <v>485</v>
      </c>
      <c r="AA429" s="175" t="s">
        <v>2679</v>
      </c>
      <c r="AB429" s="174" t="s">
        <v>1043</v>
      </c>
      <c r="AC429" s="174" t="s">
        <v>1460</v>
      </c>
      <c r="AD429" s="174" t="s">
        <v>2680</v>
      </c>
      <c r="AE429" s="242">
        <v>476.95954999999998</v>
      </c>
      <c r="AF429" s="175">
        <v>18.58398</v>
      </c>
      <c r="AG429" s="174">
        <v>98.007369999999995</v>
      </c>
      <c r="AH429" s="175">
        <v>7958.97307</v>
      </c>
      <c r="AI429" s="174" t="s">
        <v>1728</v>
      </c>
      <c r="AJ429" s="174" t="s">
        <v>767</v>
      </c>
      <c r="AK429" s="174" t="str">
        <f t="shared" si="51"/>
        <v>MB</v>
      </c>
    </row>
    <row r="430" spans="26:37" ht="15" x14ac:dyDescent="0.25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2681</v>
      </c>
      <c r="AE430" s="242">
        <v>131.52949000000001</v>
      </c>
      <c r="AF430" s="175">
        <v>5.1248800000000001</v>
      </c>
      <c r="AG430" s="174">
        <v>27.027149999999999</v>
      </c>
      <c r="AH430" s="175">
        <v>2194.8185699999999</v>
      </c>
      <c r="AI430" s="174" t="s">
        <v>1728</v>
      </c>
      <c r="AJ430" s="174" t="s">
        <v>767</v>
      </c>
      <c r="AK430" s="174" t="str">
        <f t="shared" si="51"/>
        <v>MB</v>
      </c>
    </row>
    <row r="431" spans="26:37" ht="15" x14ac:dyDescent="0.25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2682</v>
      </c>
      <c r="AE431" s="242">
        <v>131.52949000000001</v>
      </c>
      <c r="AF431" s="175">
        <v>5.1248800000000001</v>
      </c>
      <c r="AG431" s="174">
        <v>27.027149999999999</v>
      </c>
      <c r="AH431" s="175">
        <v>2194.8185699999999</v>
      </c>
      <c r="AI431" s="174" t="s">
        <v>1728</v>
      </c>
      <c r="AJ431" s="174" t="s">
        <v>767</v>
      </c>
      <c r="AK431" s="174" t="str">
        <f t="shared" si="51"/>
        <v>MB</v>
      </c>
    </row>
    <row r="432" spans="26:37" ht="15" x14ac:dyDescent="0.25">
      <c r="Z432" s="173" t="s">
        <v>518</v>
      </c>
      <c r="AA432" s="175" t="s">
        <v>1132</v>
      </c>
      <c r="AB432" s="174" t="s">
        <v>2683</v>
      </c>
      <c r="AC432" s="174" t="s">
        <v>1499</v>
      </c>
      <c r="AD432" s="174" t="s">
        <v>2684</v>
      </c>
      <c r="AE432" s="242">
        <v>131.52949000000001</v>
      </c>
      <c r="AF432" s="175">
        <v>5.1248800000000001</v>
      </c>
      <c r="AG432" s="174">
        <v>27.027149999999999</v>
      </c>
      <c r="AH432" s="175">
        <v>2194.8185699999999</v>
      </c>
      <c r="AI432" s="174" t="s">
        <v>1728</v>
      </c>
      <c r="AJ432" s="174" t="s">
        <v>767</v>
      </c>
      <c r="AK432" s="174" t="str">
        <f t="shared" si="51"/>
        <v>MB</v>
      </c>
    </row>
    <row r="433" spans="26:37" ht="15" x14ac:dyDescent="0.25">
      <c r="Z433" s="173" t="s">
        <v>521</v>
      </c>
      <c r="AA433" s="175" t="s">
        <v>2685</v>
      </c>
      <c r="AB433" s="174" t="s">
        <v>1707</v>
      </c>
      <c r="AC433" s="174" t="s">
        <v>1500</v>
      </c>
      <c r="AD433" s="174" t="s">
        <v>2686</v>
      </c>
      <c r="AE433" s="242">
        <v>192.20033000000001</v>
      </c>
      <c r="AF433" s="175">
        <v>7.4886799999999996</v>
      </c>
      <c r="AG433" s="174">
        <v>39.494030000000002</v>
      </c>
      <c r="AH433" s="175">
        <v>3207.2262900000001</v>
      </c>
      <c r="AI433" s="174" t="s">
        <v>1728</v>
      </c>
      <c r="AJ433" s="174" t="s">
        <v>767</v>
      </c>
      <c r="AK433" s="174" t="str">
        <f t="shared" si="51"/>
        <v>MB</v>
      </c>
    </row>
    <row r="434" spans="26:37" ht="15" x14ac:dyDescent="0.25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5" x14ac:dyDescent="0.25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2687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1728</v>
      </c>
      <c r="AJ435" s="174" t="s">
        <v>630</v>
      </c>
      <c r="AK435" s="174" t="str">
        <f t="shared" si="51"/>
        <v>MB</v>
      </c>
    </row>
    <row r="436" spans="26:37" ht="15" x14ac:dyDescent="0.25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5" x14ac:dyDescent="0.25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5" x14ac:dyDescent="0.25">
      <c r="Z438" s="173" t="s">
        <v>475</v>
      </c>
      <c r="AA438" s="175" t="s">
        <v>2688</v>
      </c>
      <c r="AB438" s="174" t="s">
        <v>2689</v>
      </c>
      <c r="AC438" s="174" t="s">
        <v>1558</v>
      </c>
      <c r="AD438" s="174" t="s">
        <v>2690</v>
      </c>
      <c r="AE438" s="242">
        <v>902.14913000000001</v>
      </c>
      <c r="AF438" s="175">
        <v>35.15213</v>
      </c>
      <c r="AG438" s="174">
        <v>185.37687</v>
      </c>
      <c r="AH438" s="175">
        <v>15054.066199999999</v>
      </c>
      <c r="AI438" s="174" t="s">
        <v>1728</v>
      </c>
      <c r="AJ438" s="174" t="s">
        <v>767</v>
      </c>
      <c r="AK438" s="174" t="str">
        <f t="shared" si="51"/>
        <v>MB</v>
      </c>
    </row>
    <row r="439" spans="26:37" ht="15" x14ac:dyDescent="0.25">
      <c r="Z439" s="173" t="s">
        <v>477</v>
      </c>
      <c r="AA439" s="175" t="s">
        <v>2691</v>
      </c>
      <c r="AB439" s="174" t="s">
        <v>971</v>
      </c>
      <c r="AC439" s="174" t="s">
        <v>1443</v>
      </c>
      <c r="AD439" s="174" t="s">
        <v>2692</v>
      </c>
      <c r="AE439" s="242">
        <v>1245.41869</v>
      </c>
      <c r="AF439" s="175">
        <v>48.525910000000003</v>
      </c>
      <c r="AG439" s="174">
        <v>255.91313</v>
      </c>
      <c r="AH439" s="175">
        <v>20782.16863</v>
      </c>
      <c r="AI439" s="174" t="s">
        <v>1728</v>
      </c>
      <c r="AJ439" s="174" t="s">
        <v>767</v>
      </c>
      <c r="AK439" s="174" t="str">
        <f t="shared" ref="AK439:AK501" si="52">VLOOKUP(AI439,$AN$241:$AO$244,2,0)</f>
        <v>MB</v>
      </c>
    </row>
    <row r="440" spans="26:37" ht="15" x14ac:dyDescent="0.25">
      <c r="Z440" s="173" t="s">
        <v>523</v>
      </c>
      <c r="AA440" s="175" t="s">
        <v>2693</v>
      </c>
      <c r="AB440" s="174" t="s">
        <v>2694</v>
      </c>
      <c r="AC440" s="174" t="s">
        <v>1486</v>
      </c>
      <c r="AD440" s="174" t="s">
        <v>2695</v>
      </c>
      <c r="AE440" s="242">
        <v>813.59698000000003</v>
      </c>
      <c r="AF440" s="175">
        <v>31.70562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SZT.</v>
      </c>
    </row>
    <row r="441" spans="26:37" ht="15" x14ac:dyDescent="0.25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5" x14ac:dyDescent="0.25">
      <c r="Z442" s="173" t="s">
        <v>741</v>
      </c>
      <c r="AA442" s="175" t="s">
        <v>742</v>
      </c>
      <c r="AB442" s="174" t="s">
        <v>743</v>
      </c>
      <c r="AC442" s="174" t="s">
        <v>2696</v>
      </c>
      <c r="AD442" s="174" t="s">
        <v>2697</v>
      </c>
      <c r="AE442" s="242">
        <v>193.33324999999999</v>
      </c>
      <c r="AF442" s="175">
        <v>7.53308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SZT.</v>
      </c>
    </row>
    <row r="443" spans="26:37" ht="15" x14ac:dyDescent="0.25">
      <c r="Z443" s="173" t="s">
        <v>746</v>
      </c>
      <c r="AA443" s="175" t="s">
        <v>747</v>
      </c>
      <c r="AB443" s="174" t="s">
        <v>2698</v>
      </c>
      <c r="AC443" s="174" t="s">
        <v>2699</v>
      </c>
      <c r="AD443" s="174" t="s">
        <v>2700</v>
      </c>
      <c r="AE443" s="242">
        <v>241.2713</v>
      </c>
      <c r="AF443" s="175">
        <v>9.4009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SZT.</v>
      </c>
    </row>
    <row r="444" spans="26:37" ht="15" x14ac:dyDescent="0.25">
      <c r="Z444" s="173" t="s">
        <v>751</v>
      </c>
      <c r="AA444" s="175" t="s">
        <v>2701</v>
      </c>
      <c r="AB444" s="174" t="s">
        <v>2702</v>
      </c>
      <c r="AC444" s="174" t="s">
        <v>2703</v>
      </c>
      <c r="AD444" s="174" t="s">
        <v>2704</v>
      </c>
      <c r="AE444" s="242">
        <v>19.444279999999999</v>
      </c>
      <c r="AF444" s="175">
        <v>0.75746000000000002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SZT.</v>
      </c>
    </row>
    <row r="445" spans="26:37" ht="15" x14ac:dyDescent="0.25">
      <c r="Z445" s="173" t="s">
        <v>549</v>
      </c>
      <c r="AA445" s="175" t="s">
        <v>2705</v>
      </c>
      <c r="AB445" s="174" t="s">
        <v>756</v>
      </c>
      <c r="AC445" s="174" t="s">
        <v>1371</v>
      </c>
      <c r="AD445" s="174" t="s">
        <v>2706</v>
      </c>
      <c r="AE445" s="242">
        <v>60.308619999999998</v>
      </c>
      <c r="AF445" s="175">
        <v>2.5123199999999999</v>
      </c>
      <c r="AG445" s="174">
        <v>12.713850000000001</v>
      </c>
      <c r="AH445" s="175">
        <v>1006.36353</v>
      </c>
      <c r="AI445" s="174" t="s">
        <v>1728</v>
      </c>
      <c r="AJ445" s="174" t="s">
        <v>630</v>
      </c>
      <c r="AK445" s="174" t="str">
        <f t="shared" si="52"/>
        <v>MB</v>
      </c>
    </row>
    <row r="446" spans="26:37" ht="15" x14ac:dyDescent="0.25">
      <c r="Z446" s="173" t="s">
        <v>758</v>
      </c>
      <c r="AA446" s="175" t="s">
        <v>2707</v>
      </c>
      <c r="AB446" s="174" t="s">
        <v>760</v>
      </c>
      <c r="AC446" s="174" t="s">
        <v>1372</v>
      </c>
      <c r="AD446" s="174" t="s">
        <v>2708</v>
      </c>
      <c r="AE446" s="242">
        <v>26.770980000000002</v>
      </c>
      <c r="AF446" s="175">
        <v>1.0430999999999999</v>
      </c>
      <c r="AG446" s="174">
        <v>5.6660300000000001</v>
      </c>
      <c r="AH446" s="175">
        <v>446.72442999999998</v>
      </c>
      <c r="AI446" s="174" t="s">
        <v>1728</v>
      </c>
      <c r="AJ446" s="174" t="s">
        <v>630</v>
      </c>
      <c r="AK446" s="174" t="str">
        <f t="shared" si="52"/>
        <v>MB</v>
      </c>
    </row>
    <row r="447" spans="26:37" ht="15" x14ac:dyDescent="0.25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5" x14ac:dyDescent="0.25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2709</v>
      </c>
      <c r="AE448" s="242">
        <v>15.17802</v>
      </c>
      <c r="AF448" s="175">
        <v>0.59147000000000005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SZT.</v>
      </c>
    </row>
    <row r="449" spans="26:37" ht="15" x14ac:dyDescent="0.25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2710</v>
      </c>
      <c r="AE449" s="242">
        <v>15.17802</v>
      </c>
      <c r="AF449" s="175">
        <v>0.59147000000000005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SZT.</v>
      </c>
    </row>
    <row r="450" spans="26:37" ht="15" x14ac:dyDescent="0.25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2711</v>
      </c>
      <c r="AE450" s="242">
        <v>15.17802</v>
      </c>
      <c r="AF450" s="175">
        <v>0.59147000000000005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SZT.</v>
      </c>
    </row>
    <row r="451" spans="26:37" ht="15" x14ac:dyDescent="0.25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2712</v>
      </c>
      <c r="AE451" s="242">
        <v>15.17802</v>
      </c>
      <c r="AF451" s="175">
        <v>0.59147000000000005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SZT.</v>
      </c>
    </row>
    <row r="452" spans="26:37" ht="15" x14ac:dyDescent="0.25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2713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PAR.</v>
      </c>
    </row>
    <row r="453" spans="26:37" ht="15" x14ac:dyDescent="0.25">
      <c r="Z453" s="173" t="s">
        <v>924</v>
      </c>
      <c r="AA453" s="175" t="s">
        <v>2714</v>
      </c>
      <c r="AB453" s="174" t="s">
        <v>926</v>
      </c>
      <c r="AC453" s="174" t="s">
        <v>1425</v>
      </c>
      <c r="AD453" s="174" t="s">
        <v>2715</v>
      </c>
      <c r="AE453" s="242">
        <v>4.19815</v>
      </c>
      <c r="AF453" s="175">
        <v>0.16358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SZT.</v>
      </c>
    </row>
    <row r="454" spans="26:37" ht="15" x14ac:dyDescent="0.25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5" x14ac:dyDescent="0.25">
      <c r="Z455" s="173" t="s">
        <v>445</v>
      </c>
      <c r="AA455" s="175" t="s">
        <v>2716</v>
      </c>
      <c r="AB455" s="174" t="s">
        <v>769</v>
      </c>
      <c r="AC455" s="174" t="s">
        <v>1374</v>
      </c>
      <c r="AD455" s="174" t="s">
        <v>2717</v>
      </c>
      <c r="AE455" s="242">
        <v>69.689959999999999</v>
      </c>
      <c r="AF455" s="175">
        <v>2.9031099999999999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SZT.</v>
      </c>
    </row>
    <row r="456" spans="26:37" ht="15" x14ac:dyDescent="0.25">
      <c r="Z456" s="173" t="s">
        <v>1708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5" x14ac:dyDescent="0.25">
      <c r="Z457" s="173" t="s">
        <v>790</v>
      </c>
      <c r="AA457" s="175" t="s">
        <v>1735</v>
      </c>
      <c r="AB457" s="174" t="s">
        <v>791</v>
      </c>
      <c r="AC457" s="174" t="s">
        <v>792</v>
      </c>
      <c r="AD457" s="174" t="s">
        <v>2718</v>
      </c>
      <c r="AE457" s="242">
        <v>1003.11722</v>
      </c>
      <c r="AF457" s="175">
        <v>39.086239999999997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SZT.</v>
      </c>
    </row>
    <row r="458" spans="26:37" ht="15" x14ac:dyDescent="0.25">
      <c r="Z458" s="173" t="s">
        <v>721</v>
      </c>
      <c r="AA458" s="175" t="s">
        <v>2719</v>
      </c>
      <c r="AB458" s="174" t="s">
        <v>724</v>
      </c>
      <c r="AC458" s="174" t="s">
        <v>1546</v>
      </c>
      <c r="AD458" s="174" t="s">
        <v>2720</v>
      </c>
      <c r="AE458" s="242">
        <v>1236.66741</v>
      </c>
      <c r="AF458" s="175">
        <v>48.184570000000001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KOMP.</v>
      </c>
    </row>
    <row r="459" spans="26:37" ht="15" x14ac:dyDescent="0.25">
      <c r="Z459" s="173" t="s">
        <v>616</v>
      </c>
      <c r="AA459" s="175" t="s">
        <v>2721</v>
      </c>
      <c r="AB459" s="174" t="s">
        <v>2722</v>
      </c>
      <c r="AC459" s="174" t="s">
        <v>1553</v>
      </c>
      <c r="AD459" s="174" t="s">
        <v>2723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1728</v>
      </c>
      <c r="AJ459" s="174" t="s">
        <v>767</v>
      </c>
      <c r="AK459" s="174" t="str">
        <f t="shared" si="52"/>
        <v>MB</v>
      </c>
    </row>
    <row r="460" spans="26:37" ht="15" x14ac:dyDescent="0.25">
      <c r="Z460" s="173" t="s">
        <v>1527</v>
      </c>
      <c r="AA460" s="175" t="s">
        <v>1554</v>
      </c>
      <c r="AB460" s="174" t="s">
        <v>1709</v>
      </c>
      <c r="AC460" s="174" t="s">
        <v>1698</v>
      </c>
      <c r="AD460" s="174" t="s">
        <v>1648</v>
      </c>
      <c r="AE460" s="242">
        <v>89.304500000000004</v>
      </c>
      <c r="AF460" s="175">
        <v>3.4797400000000001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PAR.</v>
      </c>
    </row>
    <row r="461" spans="26:37" ht="15" x14ac:dyDescent="0.25">
      <c r="Z461" s="173" t="s">
        <v>1710</v>
      </c>
      <c r="AA461" s="175" t="s">
        <v>1738</v>
      </c>
      <c r="AB461" s="174" t="s">
        <v>1863</v>
      </c>
      <c r="AC461" s="174" t="s">
        <v>1711</v>
      </c>
      <c r="AD461" s="174" t="s">
        <v>2724</v>
      </c>
      <c r="AE461" s="242">
        <v>127.68686</v>
      </c>
      <c r="AF461" s="175">
        <v>4.9747000000000003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SZT.</v>
      </c>
    </row>
    <row r="462" spans="26:37" ht="15" x14ac:dyDescent="0.25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5" x14ac:dyDescent="0.25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447.62873999999999</v>
      </c>
      <c r="AF463" s="175">
        <v>17.44143</v>
      </c>
      <c r="AG463" s="174">
        <v>91.980369999999994</v>
      </c>
      <c r="AH463" s="175">
        <v>7469.5329899999997</v>
      </c>
      <c r="AI463" s="174" t="s">
        <v>1728</v>
      </c>
      <c r="AJ463" s="174" t="s">
        <v>767</v>
      </c>
      <c r="AK463" s="174" t="str">
        <f t="shared" si="52"/>
        <v>MB</v>
      </c>
    </row>
    <row r="464" spans="26:37" ht="15" x14ac:dyDescent="0.25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2725</v>
      </c>
      <c r="AE464" s="242">
        <v>560.30166999999994</v>
      </c>
      <c r="AF464" s="175">
        <v>21.83155</v>
      </c>
      <c r="AG464" s="174">
        <v>115.13282</v>
      </c>
      <c r="AH464" s="175">
        <v>9349.6940900000009</v>
      </c>
      <c r="AI464" s="174" t="s">
        <v>1728</v>
      </c>
      <c r="AJ464" s="174" t="s">
        <v>767</v>
      </c>
      <c r="AK464" s="174" t="str">
        <f t="shared" si="52"/>
        <v>MB</v>
      </c>
    </row>
    <row r="465" spans="23:37" ht="15" x14ac:dyDescent="0.25">
      <c r="Z465" s="173" t="s">
        <v>615</v>
      </c>
      <c r="AA465" s="175" t="s">
        <v>2726</v>
      </c>
      <c r="AB465" s="174" t="s">
        <v>2727</v>
      </c>
      <c r="AC465" s="174" t="s">
        <v>1551</v>
      </c>
      <c r="AD465" s="174" t="s">
        <v>2728</v>
      </c>
      <c r="AE465" s="242">
        <v>764.04384000000005</v>
      </c>
      <c r="AF465" s="175">
        <v>29.770160000000001</v>
      </c>
      <c r="AG465" s="174">
        <v>156.99848</v>
      </c>
      <c r="AH465" s="175">
        <v>12749.518</v>
      </c>
      <c r="AI465" s="174" t="s">
        <v>1728</v>
      </c>
      <c r="AJ465" s="174" t="s">
        <v>767</v>
      </c>
      <c r="AK465" s="174" t="str">
        <f t="shared" si="52"/>
        <v>MB</v>
      </c>
    </row>
    <row r="466" spans="23:37" ht="15" x14ac:dyDescent="0.25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15.798</v>
      </c>
      <c r="AF466" s="175">
        <v>0.61563999999999997</v>
      </c>
      <c r="AG466" s="174">
        <v>3.3436300000000001</v>
      </c>
      <c r="AH466" s="175">
        <v>263.61946999999998</v>
      </c>
      <c r="AI466" s="174" t="s">
        <v>1728</v>
      </c>
      <c r="AJ466" s="174" t="s">
        <v>2057</v>
      </c>
      <c r="AK466" s="174" t="str">
        <f t="shared" si="52"/>
        <v>MB</v>
      </c>
    </row>
    <row r="467" spans="23:37" ht="15" x14ac:dyDescent="0.25">
      <c r="Z467" s="310" t="s">
        <v>1195</v>
      </c>
      <c r="AA467" s="337" t="s">
        <v>1518</v>
      </c>
      <c r="AB467" s="174" t="s">
        <v>1565</v>
      </c>
      <c r="AC467" s="174" t="s">
        <v>1771</v>
      </c>
      <c r="AD467" s="174" t="s">
        <v>2154</v>
      </c>
      <c r="AE467" s="242">
        <v>250</v>
      </c>
      <c r="AF467" s="175">
        <v>10</v>
      </c>
      <c r="AG467" s="174">
        <v>40</v>
      </c>
      <c r="AH467" s="175">
        <v>2800</v>
      </c>
      <c r="AI467" s="174" t="s">
        <v>643</v>
      </c>
      <c r="AJ467" s="174" t="s">
        <v>2057</v>
      </c>
      <c r="AK467" s="174" t="str">
        <f t="shared" si="52"/>
        <v>SZT.</v>
      </c>
    </row>
    <row r="468" spans="23:37" ht="15" x14ac:dyDescent="0.25">
      <c r="Z468" s="174">
        <v>178140</v>
      </c>
      <c r="AA468" s="175" t="s">
        <v>2729</v>
      </c>
      <c r="AB468" s="174" t="s">
        <v>2060</v>
      </c>
      <c r="AC468" s="174" t="s">
        <v>2062</v>
      </c>
      <c r="AD468" s="174" t="s">
        <v>2730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1728</v>
      </c>
      <c r="AJ468" s="174" t="s">
        <v>630</v>
      </c>
      <c r="AK468" s="174" t="str">
        <f t="shared" si="52"/>
        <v>MB</v>
      </c>
    </row>
    <row r="469" spans="23:37" ht="15" x14ac:dyDescent="0.25">
      <c r="Z469" s="174">
        <v>202650</v>
      </c>
      <c r="AA469" s="175" t="s">
        <v>2731</v>
      </c>
      <c r="AB469" s="174" t="s">
        <v>2063</v>
      </c>
      <c r="AC469" s="174" t="s">
        <v>2065</v>
      </c>
      <c r="AD469" s="174" t="s">
        <v>2064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1728</v>
      </c>
      <c r="AJ469" s="174" t="s">
        <v>630</v>
      </c>
      <c r="AK469" s="174" t="str">
        <f t="shared" si="52"/>
        <v>MB</v>
      </c>
    </row>
    <row r="470" spans="23:37" ht="15" x14ac:dyDescent="0.25">
      <c r="W470" s="172"/>
      <c r="Z470" s="174">
        <v>202651</v>
      </c>
      <c r="AA470" s="175" t="s">
        <v>2732</v>
      </c>
      <c r="AB470" s="174" t="s">
        <v>2066</v>
      </c>
      <c r="AC470" s="174" t="s">
        <v>2069</v>
      </c>
      <c r="AD470" s="174" t="s">
        <v>2733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1728</v>
      </c>
      <c r="AJ470" s="174" t="s">
        <v>630</v>
      </c>
      <c r="AK470" s="174" t="str">
        <f t="shared" si="52"/>
        <v>MB</v>
      </c>
    </row>
    <row r="471" spans="23:37" ht="15" x14ac:dyDescent="0.25">
      <c r="Z471" s="174">
        <v>202652</v>
      </c>
      <c r="AA471" s="175" t="s">
        <v>2734</v>
      </c>
      <c r="AB471" s="174" t="s">
        <v>2074</v>
      </c>
      <c r="AC471" s="174" t="s">
        <v>2073</v>
      </c>
      <c r="AD471" s="174" t="s">
        <v>2735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1728</v>
      </c>
      <c r="AJ471" s="174" t="s">
        <v>630</v>
      </c>
      <c r="AK471" s="174" t="str">
        <f t="shared" si="52"/>
        <v>MB</v>
      </c>
    </row>
    <row r="472" spans="23:37" ht="15" x14ac:dyDescent="0.25">
      <c r="Z472" s="174">
        <v>228521</v>
      </c>
      <c r="AA472" s="175" t="s">
        <v>2075</v>
      </c>
      <c r="AB472" s="174" t="s">
        <v>2075</v>
      </c>
      <c r="AC472" s="174" t="s">
        <v>2077</v>
      </c>
      <c r="AD472" s="174" t="s">
        <v>2076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1728</v>
      </c>
      <c r="AJ472" s="174" t="s">
        <v>630</v>
      </c>
      <c r="AK472" s="174" t="str">
        <f t="shared" si="52"/>
        <v>MB</v>
      </c>
    </row>
    <row r="473" spans="23:37" ht="15" x14ac:dyDescent="0.25">
      <c r="Z473" s="174">
        <v>244830</v>
      </c>
      <c r="AA473" s="175" t="s">
        <v>2078</v>
      </c>
      <c r="AB473" s="174" t="s">
        <v>2205</v>
      </c>
      <c r="AC473" s="174" t="s">
        <v>2080</v>
      </c>
      <c r="AD473" s="174" t="s">
        <v>2079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PAR.</v>
      </c>
    </row>
    <row r="474" spans="23:37" ht="15" x14ac:dyDescent="0.25">
      <c r="Z474" s="174">
        <v>307764</v>
      </c>
      <c r="AA474" s="175" t="s">
        <v>2736</v>
      </c>
      <c r="AB474" s="174" t="s">
        <v>2737</v>
      </c>
      <c r="AC474" s="174" t="s">
        <v>2207</v>
      </c>
      <c r="AD474" s="174" t="s">
        <v>2738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PAR.</v>
      </c>
    </row>
    <row r="475" spans="23:37" ht="15" x14ac:dyDescent="0.25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5" x14ac:dyDescent="0.25">
      <c r="Z476" s="174">
        <v>353554</v>
      </c>
      <c r="AA476" s="175" t="s">
        <v>2739</v>
      </c>
      <c r="AB476" s="174" t="s">
        <v>2095</v>
      </c>
      <c r="AC476" s="174" t="s">
        <v>2210</v>
      </c>
      <c r="AD476" s="174" t="s">
        <v>2094</v>
      </c>
      <c r="AE476" s="242">
        <v>76.405460000000005</v>
      </c>
      <c r="AF476" s="175">
        <v>2.9770500000000002</v>
      </c>
      <c r="AG476" s="174">
        <v>15.70008</v>
      </c>
      <c r="AH476" s="175">
        <v>1274.9698599999999</v>
      </c>
      <c r="AI476" s="174" t="s">
        <v>1728</v>
      </c>
      <c r="AJ476" s="174" t="s">
        <v>1925</v>
      </c>
      <c r="AK476" s="174" t="str">
        <f t="shared" si="52"/>
        <v>MB</v>
      </c>
    </row>
    <row r="477" spans="23:37" ht="15" x14ac:dyDescent="0.25">
      <c r="Z477" s="174">
        <v>353556</v>
      </c>
      <c r="AA477" s="175" t="s">
        <v>2740</v>
      </c>
      <c r="AB477" s="174" t="s">
        <v>2099</v>
      </c>
      <c r="AC477" s="174" t="s">
        <v>2211</v>
      </c>
      <c r="AD477" s="174" t="s">
        <v>2098</v>
      </c>
      <c r="AE477" s="242">
        <v>90.493849999999995</v>
      </c>
      <c r="AF477" s="175">
        <v>3.5257399999999999</v>
      </c>
      <c r="AG477" s="174">
        <v>18.595009999999998</v>
      </c>
      <c r="AH477" s="175">
        <v>1510.06134</v>
      </c>
      <c r="AI477" s="174" t="s">
        <v>1728</v>
      </c>
      <c r="AJ477" s="174" t="s">
        <v>1925</v>
      </c>
      <c r="AK477" s="174" t="str">
        <f t="shared" si="52"/>
        <v>MB</v>
      </c>
    </row>
    <row r="478" spans="23:37" ht="15" x14ac:dyDescent="0.25">
      <c r="Z478" s="174">
        <v>353557</v>
      </c>
      <c r="AA478" s="175" t="s">
        <v>2100</v>
      </c>
      <c r="AB478" s="174" t="s">
        <v>2103</v>
      </c>
      <c r="AC478" s="174" t="s">
        <v>2212</v>
      </c>
      <c r="AD478" s="174" t="s">
        <v>2741</v>
      </c>
      <c r="AE478" s="242">
        <v>409.04101000000003</v>
      </c>
      <c r="AF478" s="175">
        <v>15.9376</v>
      </c>
      <c r="AG478" s="174">
        <v>84.051220000000001</v>
      </c>
      <c r="AH478" s="175">
        <v>6825.6235999999999</v>
      </c>
      <c r="AI478" s="174" t="s">
        <v>1728</v>
      </c>
      <c r="AJ478" s="174" t="s">
        <v>1925</v>
      </c>
      <c r="AK478" s="174" t="str">
        <f t="shared" si="52"/>
        <v>MB</v>
      </c>
    </row>
    <row r="479" spans="23:37" ht="15" x14ac:dyDescent="0.25">
      <c r="Z479" s="174">
        <v>353559</v>
      </c>
      <c r="AA479" s="175" t="s">
        <v>2104</v>
      </c>
      <c r="AB479" s="174" t="s">
        <v>2107</v>
      </c>
      <c r="AC479" s="174" t="s">
        <v>2213</v>
      </c>
      <c r="AD479" s="174" t="s">
        <v>2742</v>
      </c>
      <c r="AE479" s="242">
        <v>205.27258</v>
      </c>
      <c r="AF479" s="175">
        <v>7.9984400000000004</v>
      </c>
      <c r="AG479" s="174">
        <v>42.180149999999998</v>
      </c>
      <c r="AH479" s="175">
        <v>3425.3617199999999</v>
      </c>
      <c r="AI479" s="174" t="s">
        <v>1728</v>
      </c>
      <c r="AJ479" s="174" t="s">
        <v>1925</v>
      </c>
      <c r="AK479" s="174" t="str">
        <f t="shared" si="52"/>
        <v>MB</v>
      </c>
    </row>
    <row r="480" spans="23:37" ht="15" x14ac:dyDescent="0.25">
      <c r="Z480" s="174">
        <v>353560</v>
      </c>
      <c r="AA480" s="175" t="s">
        <v>2108</v>
      </c>
      <c r="AB480" s="174" t="s">
        <v>2111</v>
      </c>
      <c r="AC480" s="174" t="s">
        <v>2214</v>
      </c>
      <c r="AD480" s="174" t="s">
        <v>2110</v>
      </c>
      <c r="AE480" s="242">
        <v>222.25552999999999</v>
      </c>
      <c r="AF480" s="175">
        <v>8.66005</v>
      </c>
      <c r="AG480" s="174">
        <v>45.669879999999999</v>
      </c>
      <c r="AH480" s="175">
        <v>3708.7543999999998</v>
      </c>
      <c r="AI480" s="174" t="s">
        <v>1728</v>
      </c>
      <c r="AJ480" s="174" t="s">
        <v>1925</v>
      </c>
      <c r="AK480" s="174" t="str">
        <f t="shared" si="52"/>
        <v>MB</v>
      </c>
    </row>
    <row r="481" spans="26:37" ht="15" x14ac:dyDescent="0.25">
      <c r="Z481" s="174">
        <v>353561</v>
      </c>
      <c r="AA481" s="175" t="s">
        <v>2743</v>
      </c>
      <c r="AB481" s="174" t="s">
        <v>2114</v>
      </c>
      <c r="AC481" s="174" t="s">
        <v>2215</v>
      </c>
      <c r="AD481" s="174" t="s">
        <v>2744</v>
      </c>
      <c r="AE481" s="242">
        <v>41.377220000000001</v>
      </c>
      <c r="AF481" s="175">
        <v>1.61242</v>
      </c>
      <c r="AG481" s="174">
        <v>8.5023300000000006</v>
      </c>
      <c r="AH481" s="175">
        <v>690.45730000000003</v>
      </c>
      <c r="AI481" s="174" t="s">
        <v>657</v>
      </c>
      <c r="AJ481" s="174" t="s">
        <v>1925</v>
      </c>
      <c r="AK481" s="174" t="str">
        <f t="shared" si="52"/>
        <v>PAR.</v>
      </c>
    </row>
    <row r="482" spans="26:37" ht="15" x14ac:dyDescent="0.25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5" x14ac:dyDescent="0.25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5" x14ac:dyDescent="0.25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5" x14ac:dyDescent="0.25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5" x14ac:dyDescent="0.25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5" x14ac:dyDescent="0.25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5" x14ac:dyDescent="0.25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5" x14ac:dyDescent="0.25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5" x14ac:dyDescent="0.25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5" x14ac:dyDescent="0.25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5" x14ac:dyDescent="0.25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5" x14ac:dyDescent="0.25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5" x14ac:dyDescent="0.25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5" x14ac:dyDescent="0.25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5" x14ac:dyDescent="0.25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5" x14ac:dyDescent="0.25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5" x14ac:dyDescent="0.25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5" x14ac:dyDescent="0.25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5" x14ac:dyDescent="0.25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5" x14ac:dyDescent="0.25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.75" thickBot="1" x14ac:dyDescent="0.3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.75" thickBot="1" x14ac:dyDescent="0.3">
      <c r="Z503" s="308" t="s">
        <v>1183</v>
      </c>
      <c r="AA503" s="314" t="s">
        <v>1905</v>
      </c>
      <c r="AB503" s="314" t="s">
        <v>1906</v>
      </c>
      <c r="AC503" s="314" t="s">
        <v>1907</v>
      </c>
      <c r="AD503" s="314" t="s">
        <v>1908</v>
      </c>
      <c r="AE503" s="242">
        <v>3532.5149900000001</v>
      </c>
      <c r="AF503" s="175">
        <v>137.63856000000001</v>
      </c>
      <c r="AG503" s="174">
        <v>725.87396999999999</v>
      </c>
      <c r="AH503" s="175">
        <v>58946.700400000002</v>
      </c>
      <c r="AI503" s="310" t="s">
        <v>1929</v>
      </c>
      <c r="AJ503" s="311" t="s">
        <v>767</v>
      </c>
      <c r="AK503" s="309" t="str">
        <f>VLOOKUP(AI503,$AN$241:$AO$244,2,0)</f>
        <v>KOMP.</v>
      </c>
    </row>
    <row r="504" spans="26:37" ht="15.75" thickBot="1" x14ac:dyDescent="0.3">
      <c r="Z504" s="312" t="s">
        <v>1184</v>
      </c>
      <c r="AA504" s="315" t="s">
        <v>1909</v>
      </c>
      <c r="AB504" s="315" t="s">
        <v>1910</v>
      </c>
      <c r="AC504" s="315" t="s">
        <v>1911</v>
      </c>
      <c r="AD504" s="315" t="s">
        <v>1912</v>
      </c>
      <c r="AE504" s="242">
        <v>3517.2002200000002</v>
      </c>
      <c r="AF504" s="175">
        <v>137.04012</v>
      </c>
      <c r="AG504" s="174">
        <v>722.72703000000001</v>
      </c>
      <c r="AH504" s="175">
        <v>58691.144480000003</v>
      </c>
      <c r="AI504" s="310" t="s">
        <v>1929</v>
      </c>
      <c r="AJ504" s="311" t="s">
        <v>767</v>
      </c>
      <c r="AK504" s="309" t="str">
        <f>VLOOKUP(AI504,$AN$241:$AO$244,2,0)</f>
        <v>KOMP.</v>
      </c>
    </row>
    <row r="505" spans="26:37" ht="15.75" thickBot="1" x14ac:dyDescent="0.3">
      <c r="Z505" s="312" t="s">
        <v>1185</v>
      </c>
      <c r="AA505" s="315" t="s">
        <v>1913</v>
      </c>
      <c r="AB505" s="315" t="s">
        <v>1914</v>
      </c>
      <c r="AC505" s="315" t="s">
        <v>1915</v>
      </c>
      <c r="AD505" s="315" t="s">
        <v>1916</v>
      </c>
      <c r="AE505" s="242">
        <v>3689.7648400000003</v>
      </c>
      <c r="AF505" s="175">
        <v>143.76691</v>
      </c>
      <c r="AG505" s="174">
        <v>758.18623000000002</v>
      </c>
      <c r="AH505" s="175">
        <v>61570.711770000002</v>
      </c>
      <c r="AI505" s="310" t="s">
        <v>1929</v>
      </c>
      <c r="AJ505" s="311" t="s">
        <v>767</v>
      </c>
      <c r="AK505" s="309" t="str">
        <f>VLOOKUP(AI505,$AN$241:$AO$244,2,0)</f>
        <v>KOMP.</v>
      </c>
    </row>
    <row r="506" spans="26:37" ht="15.75" thickBot="1" x14ac:dyDescent="0.3">
      <c r="Z506" s="312" t="s">
        <v>1186</v>
      </c>
      <c r="AA506" s="315" t="s">
        <v>1917</v>
      </c>
      <c r="AB506" s="315" t="s">
        <v>1918</v>
      </c>
      <c r="AC506" s="315" t="s">
        <v>1919</v>
      </c>
      <c r="AD506" s="315" t="s">
        <v>1920</v>
      </c>
      <c r="AE506" s="242">
        <v>3831.9733900000001</v>
      </c>
      <c r="AF506" s="175">
        <v>149.30792</v>
      </c>
      <c r="AG506" s="174">
        <v>787.40776000000005</v>
      </c>
      <c r="AH506" s="175">
        <v>63943.730710000003</v>
      </c>
      <c r="AI506" s="310" t="s">
        <v>1929</v>
      </c>
      <c r="AJ506" s="311" t="s">
        <v>767</v>
      </c>
      <c r="AK506" s="309" t="str">
        <f>VLOOKUP(AI506,$AN$241:$AO$244,2,0)</f>
        <v>KOMP.</v>
      </c>
    </row>
    <row r="507" spans="26:37" ht="15.75" thickBot="1" x14ac:dyDescent="0.3">
      <c r="Z507" s="308" t="s">
        <v>1189</v>
      </c>
      <c r="AA507" s="315" t="s">
        <v>1921</v>
      </c>
      <c r="AB507" s="315" t="s">
        <v>1922</v>
      </c>
      <c r="AC507" s="315" t="s">
        <v>1923</v>
      </c>
      <c r="AD507" s="315" t="s">
        <v>1924</v>
      </c>
      <c r="AE507" s="242">
        <v>3944.6463200000003</v>
      </c>
      <c r="AF507" s="175">
        <v>153.69640000000001</v>
      </c>
      <c r="AG507" s="174">
        <v>810.56017999999995</v>
      </c>
      <c r="AH507" s="175">
        <v>65823.891799999998</v>
      </c>
      <c r="AI507" s="310" t="s">
        <v>1929</v>
      </c>
      <c r="AJ507" s="311" t="s">
        <v>767</v>
      </c>
      <c r="AK507" s="309" t="str">
        <f>VLOOKUP(AI507,$AN$241:$AO$244,2,0)</f>
        <v>KOMP.</v>
      </c>
    </row>
    <row r="508" spans="26:37" ht="15" x14ac:dyDescent="0.25">
      <c r="Z508" s="174">
        <v>0</v>
      </c>
      <c r="AA508" s="175"/>
      <c r="AB508" s="174"/>
      <c r="AC508" s="174"/>
      <c r="AD508" s="174"/>
      <c r="AE508" s="242" t="e">
        <v>#N/A</v>
      </c>
      <c r="AF508" s="175" t="e">
        <v>#N/A</v>
      </c>
      <c r="AG508" s="174" t="e">
        <v>#N/A</v>
      </c>
      <c r="AH508" s="175" t="e">
        <v>#N/A</v>
      </c>
      <c r="AI508" s="174"/>
      <c r="AJ508" s="174"/>
      <c r="AK508" s="174"/>
    </row>
    <row r="509" spans="26:37" ht="15" x14ac:dyDescent="0.25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3020.8377</v>
      </c>
      <c r="AF509" s="175">
        <v>117.70202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5" x14ac:dyDescent="0.25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3005.5229300000001</v>
      </c>
      <c r="AF510" s="175">
        <v>117.10357999999999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5" x14ac:dyDescent="0.25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3178.0875500000002</v>
      </c>
      <c r="AF511" s="175">
        <v>123.83037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5" x14ac:dyDescent="0.25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3320.2961</v>
      </c>
      <c r="AF512" s="175">
        <v>129.37137999999999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5" x14ac:dyDescent="0.25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3432.9690300000002</v>
      </c>
      <c r="AF513" s="175">
        <v>133.75986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5" x14ac:dyDescent="0.25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5" x14ac:dyDescent="0.25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511.67729000000003</v>
      </c>
      <c r="AF515" s="175">
        <v>19.936540000000001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5" x14ac:dyDescent="0.25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  <mergeCell ref="C70:E70"/>
    <mergeCell ref="G70:I70"/>
    <mergeCell ref="AO40:AP40"/>
    <mergeCell ref="AT40:AU40"/>
    <mergeCell ref="AO50:AP50"/>
    <mergeCell ref="AT50:AU50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2025-01-06T10:39:25Z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