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embeddings/oleObject1.bin" ContentType="application/vnd.openxmlformats-officedocument.oleObject"/>
  <Override PartName="/xl/drawings/drawing3.xml" ContentType="application/vnd.openxmlformats-officedocument.drawing+xml"/>
  <Override PartName="/xl/drawings/drawing4.xml" ContentType="application/vnd.openxmlformats-officedocument.drawing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omments1.xml" ContentType="application/vnd.openxmlformats-officedocument.spreadsheetml.comments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demostrade-my.sharepoint.com/personal/11507_demos-trade_com/Documents/Záloha/Žaluzie Rehau/"/>
    </mc:Choice>
  </mc:AlternateContent>
  <xr:revisionPtr revIDLastSave="10" documentId="8_{8B156BB4-D6DB-4FBE-9898-8E105C2B5FF5}" xr6:coauthVersionLast="47" xr6:coauthVersionMax="47" xr10:uidLastSave="{F8236567-3BC7-457E-8E9F-FEB21F5E675B}"/>
  <workbookProtection workbookAlgorithmName="SHA-512" workbookHashValue="4LeFrP+WcoLPIN/3TMojvUvC2BzTJNoq/I9Raeh7RGOzj/7hH0sw3qJbYIISMeRpBqCsSAL860l1WIF1rm2SMw==" workbookSaltValue="M3kXKidPPxH3uMNkUAZ2iA==" workbookSpinCount="100000" lockStructure="1"/>
  <bookViews>
    <workbookView xWindow="-108" yWindow="-108" windowWidth="23256" windowHeight="12456" firstSheet="3" activeTab="3" xr2:uid="{00000000-000D-0000-FFFF-FFFF00000000}"/>
  </bookViews>
  <sheets>
    <sheet name="Titulní" sheetId="1" state="hidden" r:id="rId1"/>
    <sheet name="Slevy a rabaty" sheetId="5" state="hidden" r:id="rId2"/>
    <sheet name="Kalkulace" sheetId="4" state="hidden" r:id="rId3"/>
    <sheet name="Úvod" sheetId="13" r:id="rId4"/>
    <sheet name="Objednávka žaluzií" sheetId="6" r:id="rId5"/>
    <sheet name="CHYBY" sheetId="16" state="hidden" r:id="rId6"/>
    <sheet name="UKOLY a NUTNE PREKLADY" sheetId="14" state="hidden" r:id="rId7"/>
    <sheet name="Návod" sheetId="10" r:id="rId8"/>
    <sheet name="výpočty" sheetId="2" state="hidden" r:id="rId9"/>
    <sheet name="InfoSort" sheetId="15" state="hidden" r:id="rId10"/>
    <sheet name="Odečty" sheetId="9" state="hidden" r:id="rId11"/>
    <sheet name="Překlady" sheetId="8" state="hidden" r:id="rId12"/>
  </sheets>
  <definedNames>
    <definedName name="_xlnm._FilterDatabase" localSheetId="5" hidden="1">CHYBY!$A$1:$W$482</definedName>
    <definedName name="_xlnm._FilterDatabase" localSheetId="9" hidden="1">InfoSort!$A$1:$BH$235</definedName>
    <definedName name="_xlnm._FilterDatabase" localSheetId="11" hidden="1">Překlady!$A$1:$G$177</definedName>
    <definedName name="_xlnm._FilterDatabase" localSheetId="8" hidden="1">výpočty!$Z$246:$AK$515</definedName>
    <definedName name="BARVA">výpočty!$Y$3</definedName>
    <definedName name="_xlnm.Extract" localSheetId="8">výpočty!$A$109:$H$118</definedName>
    <definedName name="_xlnm.Criteria" localSheetId="8">výpočty!$I$91:$I$92</definedName>
    <definedName name="NAVIJENI">výpočty!$T$9</definedName>
    <definedName name="OBJ_KUSY">'Objednávka žaluzií'!$F$21</definedName>
    <definedName name="PRIPRAVA">výpočty!$X$22</definedName>
    <definedName name="SMER">výpočty!$U$14</definedName>
    <definedName name="VEDENI">výpočty!$T$3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35" i="6" l="1"/>
  <c r="D13" i="9"/>
  <c r="E83" i="8" l="1"/>
  <c r="D83" i="8"/>
  <c r="C83" i="8"/>
  <c r="B83" i="8"/>
  <c r="E112" i="8"/>
  <c r="D112" i="8"/>
  <c r="C112" i="8"/>
  <c r="B112" i="8"/>
  <c r="AB1" i="2" l="1"/>
  <c r="A1" i="8" l="1"/>
  <c r="A106" i="8" l="1"/>
  <c r="A175" i="8"/>
  <c r="A177" i="8"/>
  <c r="A176" i="8"/>
  <c r="A174" i="8"/>
  <c r="C26" i="13" s="1"/>
  <c r="A173" i="8"/>
  <c r="K140" i="10" s="1"/>
  <c r="A105" i="8"/>
  <c r="A172" i="8"/>
  <c r="A171" i="8"/>
  <c r="A170" i="8"/>
  <c r="A169" i="8"/>
  <c r="A168" i="8"/>
  <c r="I43" i="10" s="1"/>
  <c r="A167" i="8"/>
  <c r="D42" i="10" s="1"/>
  <c r="A166" i="8"/>
  <c r="A165" i="8"/>
  <c r="I41" i="10" s="1"/>
  <c r="A164" i="8"/>
  <c r="A163" i="8"/>
  <c r="A162" i="8"/>
  <c r="A161" i="8"/>
  <c r="I42" i="10" s="1"/>
  <c r="A160" i="8"/>
  <c r="D43" i="10" s="1"/>
  <c r="A159" i="8"/>
  <c r="A158" i="8"/>
  <c r="A157" i="8"/>
  <c r="A156" i="8"/>
  <c r="A155" i="8"/>
  <c r="A154" i="8"/>
  <c r="A153" i="8"/>
  <c r="A152" i="8"/>
  <c r="A151" i="8"/>
  <c r="A150" i="8"/>
  <c r="A149" i="8"/>
  <c r="A148" i="8"/>
  <c r="A147" i="8"/>
  <c r="A146" i="8"/>
  <c r="A145" i="8"/>
  <c r="A144" i="8"/>
  <c r="A143" i="8"/>
  <c r="A142" i="8"/>
  <c r="A141" i="8"/>
  <c r="A140" i="8"/>
  <c r="A139" i="8"/>
  <c r="A138" i="8"/>
  <c r="A137" i="8"/>
  <c r="A136" i="8"/>
  <c r="A135" i="8"/>
  <c r="A134" i="8"/>
  <c r="A133" i="8"/>
  <c r="A132" i="8"/>
  <c r="A131" i="8"/>
  <c r="A130" i="8"/>
  <c r="A129" i="8"/>
  <c r="A128" i="8"/>
  <c r="A127" i="8"/>
  <c r="A126" i="8"/>
  <c r="A125" i="8"/>
  <c r="A124" i="8"/>
  <c r="A123" i="8"/>
  <c r="A122" i="8"/>
  <c r="A121" i="8"/>
  <c r="A120" i="8"/>
  <c r="A119" i="8"/>
  <c r="A118" i="8"/>
  <c r="A117" i="8"/>
  <c r="A116" i="8"/>
  <c r="A115" i="8"/>
  <c r="A114" i="8"/>
  <c r="A113" i="8"/>
  <c r="A112" i="8"/>
  <c r="A111" i="8"/>
  <c r="A110" i="8"/>
  <c r="A109" i="8"/>
  <c r="A108" i="8"/>
  <c r="A107" i="8"/>
  <c r="A104" i="8"/>
  <c r="A103" i="8"/>
  <c r="A102" i="8"/>
  <c r="A101" i="8"/>
  <c r="A100" i="8"/>
  <c r="A99" i="8"/>
  <c r="A98" i="8"/>
  <c r="A97" i="8"/>
  <c r="A96" i="8"/>
  <c r="A95" i="8"/>
  <c r="A94" i="8"/>
  <c r="A93" i="8"/>
  <c r="A92" i="8"/>
  <c r="A91" i="8"/>
  <c r="A90" i="8"/>
  <c r="A89" i="8"/>
  <c r="A88" i="8"/>
  <c r="A87" i="8"/>
  <c r="A86" i="8"/>
  <c r="A85" i="8"/>
  <c r="A84" i="8"/>
  <c r="A83" i="8"/>
  <c r="A82" i="8"/>
  <c r="A81" i="8"/>
  <c r="A80" i="8"/>
  <c r="A79" i="8"/>
  <c r="A78" i="8"/>
  <c r="A77" i="8"/>
  <c r="A76" i="8"/>
  <c r="A75" i="8"/>
  <c r="A74" i="8"/>
  <c r="A73" i="8"/>
  <c r="A72" i="8"/>
  <c r="A71" i="8"/>
  <c r="A70" i="8"/>
  <c r="A69" i="8"/>
  <c r="A68" i="8"/>
  <c r="W11" i="2" s="1"/>
  <c r="A67" i="8"/>
  <c r="W10" i="2" s="1"/>
  <c r="A66" i="8"/>
  <c r="W9" i="2" s="1"/>
  <c r="A65" i="8"/>
  <c r="W8" i="2" s="1"/>
  <c r="A64" i="8"/>
  <c r="A63" i="8"/>
  <c r="A62" i="8"/>
  <c r="A61" i="8"/>
  <c r="A60" i="8"/>
  <c r="A59" i="8"/>
  <c r="A58" i="8"/>
  <c r="A57" i="8"/>
  <c r="A56" i="8"/>
  <c r="A55" i="8"/>
  <c r="A54" i="8"/>
  <c r="A53" i="8"/>
  <c r="A52" i="8"/>
  <c r="A51" i="8"/>
  <c r="A50" i="8"/>
  <c r="A49" i="8"/>
  <c r="A48" i="8"/>
  <c r="A47" i="8"/>
  <c r="A46" i="8"/>
  <c r="A45" i="8"/>
  <c r="A44" i="8"/>
  <c r="A43" i="8"/>
  <c r="A42" i="8"/>
  <c r="A41" i="8"/>
  <c r="A40" i="8"/>
  <c r="A39" i="8"/>
  <c r="A38" i="8"/>
  <c r="K12" i="10" s="1"/>
  <c r="A37" i="8"/>
  <c r="A36" i="8"/>
  <c r="A35" i="8"/>
  <c r="A34" i="8"/>
  <c r="A33" i="8"/>
  <c r="A32" i="8"/>
  <c r="A31" i="8"/>
  <c r="A30" i="8"/>
  <c r="A29" i="8"/>
  <c r="A28" i="8"/>
  <c r="A27" i="8"/>
  <c r="A26" i="8"/>
  <c r="A25" i="8"/>
  <c r="A24" i="8"/>
  <c r="A23" i="8"/>
  <c r="A22" i="8"/>
  <c r="A21" i="8"/>
  <c r="A20" i="8"/>
  <c r="A19" i="8"/>
  <c r="A18" i="8"/>
  <c r="A17" i="8"/>
  <c r="A16" i="8"/>
  <c r="A15" i="8"/>
  <c r="A14" i="8"/>
  <c r="A13" i="8"/>
  <c r="A12" i="8"/>
  <c r="A11" i="8"/>
  <c r="A10" i="8"/>
  <c r="A9" i="8"/>
  <c r="A8" i="8"/>
  <c r="A7" i="8"/>
  <c r="A6" i="8"/>
  <c r="A5" i="8"/>
  <c r="A4" i="8"/>
  <c r="A3" i="8"/>
  <c r="A2" i="8"/>
  <c r="G199" i="16" l="1"/>
  <c r="G279" i="16"/>
  <c r="G39" i="16"/>
  <c r="G119" i="16"/>
  <c r="G359" i="16"/>
  <c r="G120" i="16"/>
  <c r="G200" i="16"/>
  <c r="G40" i="16"/>
  <c r="G360" i="16"/>
  <c r="G280" i="16"/>
  <c r="G361" i="16"/>
  <c r="G201" i="16"/>
  <c r="G121" i="16"/>
  <c r="G41" i="16"/>
  <c r="G281" i="16"/>
  <c r="G282" i="16"/>
  <c r="G362" i="16"/>
  <c r="G122" i="16"/>
  <c r="G140" i="10"/>
  <c r="G12" i="10"/>
  <c r="G202" i="16" l="1"/>
  <c r="D41" i="10" l="1"/>
  <c r="K7" i="10"/>
  <c r="K9" i="10"/>
  <c r="G9" i="10"/>
  <c r="G7" i="10"/>
  <c r="K6" i="10"/>
  <c r="G6" i="10"/>
  <c r="K5" i="10"/>
  <c r="G5" i="10"/>
  <c r="C6" i="10"/>
  <c r="C5" i="10"/>
  <c r="G42" i="16" l="1"/>
  <c r="G43" i="16"/>
  <c r="N3" i="16" l="1"/>
  <c r="N4" i="16"/>
  <c r="N5" i="16"/>
  <c r="N6" i="16"/>
  <c r="N7" i="16"/>
  <c r="N8" i="16"/>
  <c r="N9" i="16"/>
  <c r="N10" i="16"/>
  <c r="N11" i="16"/>
  <c r="N12" i="16"/>
  <c r="N13" i="16"/>
  <c r="N14" i="16"/>
  <c r="N15" i="16"/>
  <c r="N16" i="16"/>
  <c r="N17" i="16"/>
  <c r="N18" i="16"/>
  <c r="N19" i="16"/>
  <c r="N20" i="16"/>
  <c r="N21" i="16"/>
  <c r="N22" i="16"/>
  <c r="N23" i="16"/>
  <c r="N24" i="16"/>
  <c r="N25" i="16"/>
  <c r="N26" i="16"/>
  <c r="N27" i="16"/>
  <c r="N28" i="16"/>
  <c r="N29" i="16"/>
  <c r="N30" i="16"/>
  <c r="N31" i="16"/>
  <c r="N32" i="16"/>
  <c r="N33" i="16"/>
  <c r="N34" i="16"/>
  <c r="N35" i="16"/>
  <c r="N36" i="16"/>
  <c r="N37" i="16"/>
  <c r="N38" i="16"/>
  <c r="N39" i="16"/>
  <c r="N40" i="16"/>
  <c r="N41" i="16"/>
  <c r="N42" i="16"/>
  <c r="N43" i="16"/>
  <c r="N44" i="16"/>
  <c r="N45" i="16"/>
  <c r="N46" i="16"/>
  <c r="N47" i="16"/>
  <c r="N48" i="16"/>
  <c r="N49" i="16"/>
  <c r="N50" i="16"/>
  <c r="N51" i="16"/>
  <c r="N52" i="16"/>
  <c r="N53" i="16"/>
  <c r="N54" i="16"/>
  <c r="N55" i="16"/>
  <c r="N56" i="16"/>
  <c r="N57" i="16"/>
  <c r="N58" i="16"/>
  <c r="N59" i="16"/>
  <c r="N60" i="16"/>
  <c r="N61" i="16"/>
  <c r="N62" i="16"/>
  <c r="N63" i="16"/>
  <c r="N64" i="16"/>
  <c r="N65" i="16"/>
  <c r="N66" i="16"/>
  <c r="N67" i="16"/>
  <c r="N68" i="16"/>
  <c r="N69" i="16"/>
  <c r="N70" i="16"/>
  <c r="N71" i="16"/>
  <c r="N72" i="16"/>
  <c r="N73" i="16"/>
  <c r="N74" i="16"/>
  <c r="N75" i="16"/>
  <c r="N76" i="16"/>
  <c r="N77" i="16"/>
  <c r="N78" i="16"/>
  <c r="N79" i="16"/>
  <c r="N80" i="16"/>
  <c r="N81" i="16"/>
  <c r="N82" i="16"/>
  <c r="N83" i="16"/>
  <c r="N84" i="16"/>
  <c r="N85" i="16"/>
  <c r="N86" i="16"/>
  <c r="N87" i="16"/>
  <c r="N88" i="16"/>
  <c r="N89" i="16"/>
  <c r="N90" i="16"/>
  <c r="N91" i="16"/>
  <c r="N92" i="16"/>
  <c r="N93" i="16"/>
  <c r="N94" i="16"/>
  <c r="N95" i="16"/>
  <c r="N96" i="16"/>
  <c r="N97" i="16"/>
  <c r="N98" i="16"/>
  <c r="N99" i="16"/>
  <c r="N100" i="16"/>
  <c r="N101" i="16"/>
  <c r="N102" i="16"/>
  <c r="N103" i="16"/>
  <c r="N104" i="16"/>
  <c r="N105" i="16"/>
  <c r="N106" i="16"/>
  <c r="N107" i="16"/>
  <c r="N108" i="16"/>
  <c r="N109" i="16"/>
  <c r="N110" i="16"/>
  <c r="N111" i="16"/>
  <c r="N112" i="16"/>
  <c r="N113" i="16"/>
  <c r="N114" i="16"/>
  <c r="N115" i="16"/>
  <c r="N116" i="16"/>
  <c r="N117" i="16"/>
  <c r="N118" i="16"/>
  <c r="N119" i="16"/>
  <c r="N120" i="16"/>
  <c r="N121" i="16"/>
  <c r="N122" i="16"/>
  <c r="N123" i="16"/>
  <c r="N124" i="16"/>
  <c r="N125" i="16"/>
  <c r="N126" i="16"/>
  <c r="N127" i="16"/>
  <c r="N128" i="16"/>
  <c r="N129" i="16"/>
  <c r="N130" i="16"/>
  <c r="N131" i="16"/>
  <c r="N132" i="16"/>
  <c r="N133" i="16"/>
  <c r="N134" i="16"/>
  <c r="N135" i="16"/>
  <c r="N136" i="16"/>
  <c r="N137" i="16"/>
  <c r="N138" i="16"/>
  <c r="N139" i="16"/>
  <c r="N140" i="16"/>
  <c r="N141" i="16"/>
  <c r="N142" i="16"/>
  <c r="N143" i="16"/>
  <c r="N144" i="16"/>
  <c r="N145" i="16"/>
  <c r="N146" i="16"/>
  <c r="N147" i="16"/>
  <c r="N148" i="16"/>
  <c r="N149" i="16"/>
  <c r="N150" i="16"/>
  <c r="N151" i="16"/>
  <c r="N152" i="16"/>
  <c r="N153" i="16"/>
  <c r="N154" i="16"/>
  <c r="N155" i="16"/>
  <c r="N156" i="16"/>
  <c r="N157" i="16"/>
  <c r="N158" i="16"/>
  <c r="N159" i="16"/>
  <c r="N160" i="16"/>
  <c r="N161" i="16"/>
  <c r="N162" i="16"/>
  <c r="N163" i="16"/>
  <c r="N164" i="16"/>
  <c r="N165" i="16"/>
  <c r="N166" i="16"/>
  <c r="N167" i="16"/>
  <c r="N168" i="16"/>
  <c r="N169" i="16"/>
  <c r="N170" i="16"/>
  <c r="N171" i="16"/>
  <c r="N172" i="16"/>
  <c r="N173" i="16"/>
  <c r="N174" i="16"/>
  <c r="N175" i="16"/>
  <c r="N176" i="16"/>
  <c r="N177" i="16"/>
  <c r="N178" i="16"/>
  <c r="N179" i="16"/>
  <c r="N180" i="16"/>
  <c r="N181" i="16"/>
  <c r="N182" i="16"/>
  <c r="N183" i="16"/>
  <c r="N184" i="16"/>
  <c r="N185" i="16"/>
  <c r="N186" i="16"/>
  <c r="N187" i="16"/>
  <c r="N188" i="16"/>
  <c r="N189" i="16"/>
  <c r="N190" i="16"/>
  <c r="N191" i="16"/>
  <c r="N192" i="16"/>
  <c r="N193" i="16"/>
  <c r="N194" i="16"/>
  <c r="N195" i="16"/>
  <c r="N196" i="16"/>
  <c r="N197" i="16"/>
  <c r="N198" i="16"/>
  <c r="N199" i="16"/>
  <c r="N200" i="16"/>
  <c r="N201" i="16"/>
  <c r="N202" i="16"/>
  <c r="N203" i="16"/>
  <c r="N204" i="16"/>
  <c r="N205" i="16"/>
  <c r="N206" i="16"/>
  <c r="N207" i="16"/>
  <c r="N208" i="16"/>
  <c r="N209" i="16"/>
  <c r="N210" i="16"/>
  <c r="N211" i="16"/>
  <c r="N212" i="16"/>
  <c r="N213" i="16"/>
  <c r="N214" i="16"/>
  <c r="N215" i="16"/>
  <c r="N216" i="16"/>
  <c r="N217" i="16"/>
  <c r="N218" i="16"/>
  <c r="N219" i="16"/>
  <c r="N220" i="16"/>
  <c r="N221" i="16"/>
  <c r="N222" i="16"/>
  <c r="N223" i="16"/>
  <c r="N224" i="16"/>
  <c r="N225" i="16"/>
  <c r="N226" i="16"/>
  <c r="N227" i="16"/>
  <c r="N228" i="16"/>
  <c r="N229" i="16"/>
  <c r="N230" i="16"/>
  <c r="N231" i="16"/>
  <c r="N232" i="16"/>
  <c r="N233" i="16"/>
  <c r="N234" i="16"/>
  <c r="N235" i="16"/>
  <c r="N236" i="16"/>
  <c r="N237" i="16"/>
  <c r="N238" i="16"/>
  <c r="N239" i="16"/>
  <c r="N240" i="16"/>
  <c r="N241" i="16"/>
  <c r="N242" i="16"/>
  <c r="N243" i="16"/>
  <c r="N244" i="16"/>
  <c r="N245" i="16"/>
  <c r="N246" i="16"/>
  <c r="N247" i="16"/>
  <c r="N248" i="16"/>
  <c r="N249" i="16"/>
  <c r="N250" i="16"/>
  <c r="N251" i="16"/>
  <c r="N252" i="16"/>
  <c r="N253" i="16"/>
  <c r="N254" i="16"/>
  <c r="N255" i="16"/>
  <c r="N256" i="16"/>
  <c r="N257" i="16"/>
  <c r="N258" i="16"/>
  <c r="N259" i="16"/>
  <c r="N260" i="16"/>
  <c r="N261" i="16"/>
  <c r="N262" i="16"/>
  <c r="N263" i="16"/>
  <c r="N264" i="16"/>
  <c r="N265" i="16"/>
  <c r="N266" i="16"/>
  <c r="N267" i="16"/>
  <c r="N268" i="16"/>
  <c r="N269" i="16"/>
  <c r="N270" i="16"/>
  <c r="N271" i="16"/>
  <c r="N272" i="16"/>
  <c r="N273" i="16"/>
  <c r="N274" i="16"/>
  <c r="N275" i="16"/>
  <c r="N276" i="16"/>
  <c r="N277" i="16"/>
  <c r="N278" i="16"/>
  <c r="N279" i="16"/>
  <c r="N280" i="16"/>
  <c r="N281" i="16"/>
  <c r="N282" i="16"/>
  <c r="N283" i="16"/>
  <c r="N284" i="16"/>
  <c r="N285" i="16"/>
  <c r="N286" i="16"/>
  <c r="N287" i="16"/>
  <c r="N288" i="16"/>
  <c r="N289" i="16"/>
  <c r="N290" i="16"/>
  <c r="N291" i="16"/>
  <c r="N292" i="16"/>
  <c r="N293" i="16"/>
  <c r="N294" i="16"/>
  <c r="N295" i="16"/>
  <c r="N296" i="16"/>
  <c r="N297" i="16"/>
  <c r="N298" i="16"/>
  <c r="N299" i="16"/>
  <c r="N300" i="16"/>
  <c r="N301" i="16"/>
  <c r="N302" i="16"/>
  <c r="N303" i="16"/>
  <c r="N304" i="16"/>
  <c r="N305" i="16"/>
  <c r="N306" i="16"/>
  <c r="N307" i="16"/>
  <c r="N308" i="16"/>
  <c r="N309" i="16"/>
  <c r="N310" i="16"/>
  <c r="N311" i="16"/>
  <c r="N312" i="16"/>
  <c r="N313" i="16"/>
  <c r="N314" i="16"/>
  <c r="N315" i="16"/>
  <c r="N316" i="16"/>
  <c r="N317" i="16"/>
  <c r="N318" i="16"/>
  <c r="N319" i="16"/>
  <c r="N320" i="16"/>
  <c r="N321" i="16"/>
  <c r="N322" i="16"/>
  <c r="N323" i="16"/>
  <c r="N324" i="16"/>
  <c r="N325" i="16"/>
  <c r="N326" i="16"/>
  <c r="N327" i="16"/>
  <c r="N328" i="16"/>
  <c r="N329" i="16"/>
  <c r="N330" i="16"/>
  <c r="N331" i="16"/>
  <c r="N332" i="16"/>
  <c r="N333" i="16"/>
  <c r="N334" i="16"/>
  <c r="N335" i="16"/>
  <c r="N336" i="16"/>
  <c r="N337" i="16"/>
  <c r="N338" i="16"/>
  <c r="N339" i="16"/>
  <c r="N340" i="16"/>
  <c r="N341" i="16"/>
  <c r="N342" i="16"/>
  <c r="N343" i="16"/>
  <c r="N344" i="16"/>
  <c r="N345" i="16"/>
  <c r="N346" i="16"/>
  <c r="N347" i="16"/>
  <c r="N348" i="16"/>
  <c r="N349" i="16"/>
  <c r="N350" i="16"/>
  <c r="N351" i="16"/>
  <c r="N352" i="16"/>
  <c r="N353" i="16"/>
  <c r="N354" i="16"/>
  <c r="N355" i="16"/>
  <c r="N356" i="16"/>
  <c r="N357" i="16"/>
  <c r="N358" i="16"/>
  <c r="N359" i="16"/>
  <c r="N360" i="16"/>
  <c r="N361" i="16"/>
  <c r="N362" i="16"/>
  <c r="N363" i="16"/>
  <c r="N364" i="16"/>
  <c r="N365" i="16"/>
  <c r="N366" i="16"/>
  <c r="N367" i="16"/>
  <c r="N368" i="16"/>
  <c r="N369" i="16"/>
  <c r="N370" i="16"/>
  <c r="N371" i="16"/>
  <c r="N372" i="16"/>
  <c r="N373" i="16"/>
  <c r="N374" i="16"/>
  <c r="N375" i="16"/>
  <c r="N376" i="16"/>
  <c r="N377" i="16"/>
  <c r="N378" i="16"/>
  <c r="N379" i="16"/>
  <c r="N380" i="16"/>
  <c r="N381" i="16"/>
  <c r="N382" i="16"/>
  <c r="N383" i="16"/>
  <c r="N384" i="16"/>
  <c r="N385" i="16"/>
  <c r="N386" i="16"/>
  <c r="N387" i="16"/>
  <c r="N388" i="16"/>
  <c r="N389" i="16"/>
  <c r="N390" i="16"/>
  <c r="N391" i="16"/>
  <c r="N392" i="16"/>
  <c r="N393" i="16"/>
  <c r="N394" i="16"/>
  <c r="N395" i="16"/>
  <c r="N396" i="16"/>
  <c r="N397" i="16"/>
  <c r="N398" i="16"/>
  <c r="N399" i="16"/>
  <c r="N400" i="16"/>
  <c r="N401" i="16"/>
  <c r="N402" i="16"/>
  <c r="N403" i="16"/>
  <c r="N404" i="16"/>
  <c r="N405" i="16"/>
  <c r="N406" i="16"/>
  <c r="N407" i="16"/>
  <c r="N408" i="16"/>
  <c r="N409" i="16"/>
  <c r="N410" i="16"/>
  <c r="N411" i="16"/>
  <c r="N412" i="16"/>
  <c r="N413" i="16"/>
  <c r="N414" i="16"/>
  <c r="N415" i="16"/>
  <c r="N416" i="16"/>
  <c r="N417" i="16"/>
  <c r="N418" i="16"/>
  <c r="N419" i="16"/>
  <c r="N420" i="16"/>
  <c r="N421" i="16"/>
  <c r="N422" i="16"/>
  <c r="N423" i="16"/>
  <c r="N424" i="16"/>
  <c r="N425" i="16"/>
  <c r="N426" i="16"/>
  <c r="N427" i="16"/>
  <c r="N428" i="16"/>
  <c r="N429" i="16"/>
  <c r="N430" i="16"/>
  <c r="N431" i="16"/>
  <c r="N432" i="16"/>
  <c r="N433" i="16"/>
  <c r="N434" i="16"/>
  <c r="N435" i="16"/>
  <c r="N436" i="16"/>
  <c r="N437" i="16"/>
  <c r="N438" i="16"/>
  <c r="N439" i="16"/>
  <c r="N440" i="16"/>
  <c r="N441" i="16"/>
  <c r="N442" i="16"/>
  <c r="N443" i="16"/>
  <c r="N444" i="16"/>
  <c r="N445" i="16"/>
  <c r="N446" i="16"/>
  <c r="N447" i="16"/>
  <c r="N448" i="16"/>
  <c r="N449" i="16"/>
  <c r="N450" i="16"/>
  <c r="N451" i="16"/>
  <c r="N452" i="16"/>
  <c r="N453" i="16"/>
  <c r="N454" i="16"/>
  <c r="N455" i="16"/>
  <c r="N456" i="16"/>
  <c r="N457" i="16"/>
  <c r="N458" i="16"/>
  <c r="N459" i="16"/>
  <c r="N460" i="16"/>
  <c r="N461" i="16"/>
  <c r="N462" i="16"/>
  <c r="N463" i="16"/>
  <c r="N464" i="16"/>
  <c r="N465" i="16"/>
  <c r="N466" i="16"/>
  <c r="N467" i="16"/>
  <c r="N468" i="16"/>
  <c r="N469" i="16"/>
  <c r="N470" i="16"/>
  <c r="N471" i="16"/>
  <c r="N472" i="16"/>
  <c r="N473" i="16"/>
  <c r="N474" i="16"/>
  <c r="N475" i="16"/>
  <c r="N476" i="16"/>
  <c r="N477" i="16"/>
  <c r="N478" i="16"/>
  <c r="N479" i="16"/>
  <c r="N480" i="16"/>
  <c r="N481" i="16"/>
  <c r="N482" i="16"/>
  <c r="N2" i="16"/>
  <c r="M482" i="16"/>
  <c r="M3" i="16"/>
  <c r="M4" i="16"/>
  <c r="M5" i="16"/>
  <c r="M6" i="16"/>
  <c r="M7" i="16"/>
  <c r="M8" i="16"/>
  <c r="M9" i="16"/>
  <c r="M10" i="16"/>
  <c r="M11" i="16"/>
  <c r="M18" i="16"/>
  <c r="M19" i="16"/>
  <c r="M20" i="16"/>
  <c r="M21" i="16"/>
  <c r="M22" i="16"/>
  <c r="M23" i="16"/>
  <c r="M24" i="16"/>
  <c r="M25" i="16"/>
  <c r="M26" i="16"/>
  <c r="M27" i="16"/>
  <c r="M28" i="16"/>
  <c r="M30" i="16"/>
  <c r="M31" i="16"/>
  <c r="M32" i="16"/>
  <c r="M33" i="16"/>
  <c r="M34" i="16"/>
  <c r="M35" i="16"/>
  <c r="M36" i="16"/>
  <c r="M37" i="16"/>
  <c r="M39" i="16"/>
  <c r="M40" i="16"/>
  <c r="M41" i="16"/>
  <c r="M42" i="16"/>
  <c r="M43" i="16"/>
  <c r="M46" i="16"/>
  <c r="M47" i="16"/>
  <c r="M48" i="16"/>
  <c r="M49" i="16"/>
  <c r="M50" i="16"/>
  <c r="M51" i="16"/>
  <c r="M52" i="16"/>
  <c r="M53" i="16"/>
  <c r="M54" i="16"/>
  <c r="M55" i="16"/>
  <c r="M56" i="16"/>
  <c r="M57" i="16"/>
  <c r="M58" i="16"/>
  <c r="M59" i="16"/>
  <c r="M60" i="16"/>
  <c r="M62" i="16"/>
  <c r="M63" i="16"/>
  <c r="M64" i="16"/>
  <c r="M65" i="16"/>
  <c r="M98" i="16"/>
  <c r="M99" i="16"/>
  <c r="M100" i="16"/>
  <c r="M101" i="16"/>
  <c r="M102" i="16"/>
  <c r="M103" i="16"/>
  <c r="M104" i="16"/>
  <c r="M105" i="16"/>
  <c r="M106" i="16"/>
  <c r="M107" i="16"/>
  <c r="M108" i="16"/>
  <c r="M110" i="16"/>
  <c r="M111" i="16"/>
  <c r="M112" i="16"/>
  <c r="M113" i="16"/>
  <c r="M114" i="16"/>
  <c r="M115" i="16"/>
  <c r="M116" i="16"/>
  <c r="M117" i="16"/>
  <c r="M119" i="16"/>
  <c r="M120" i="16"/>
  <c r="M121" i="16"/>
  <c r="M122" i="16"/>
  <c r="M123" i="16"/>
  <c r="M126" i="16"/>
  <c r="M127" i="16"/>
  <c r="M128" i="16"/>
  <c r="M129" i="16"/>
  <c r="M130" i="16"/>
  <c r="M131" i="16"/>
  <c r="M132" i="16"/>
  <c r="M133" i="16"/>
  <c r="M134" i="16"/>
  <c r="M135" i="16"/>
  <c r="M136" i="16"/>
  <c r="M137" i="16"/>
  <c r="M138" i="16"/>
  <c r="M139" i="16"/>
  <c r="M140" i="16"/>
  <c r="M142" i="16"/>
  <c r="M143" i="16"/>
  <c r="M144" i="16"/>
  <c r="M145" i="16"/>
  <c r="M194" i="16"/>
  <c r="M195" i="16"/>
  <c r="M196" i="16"/>
  <c r="M197" i="16"/>
  <c r="M199" i="16"/>
  <c r="M200" i="16"/>
  <c r="M201" i="16"/>
  <c r="M202" i="16"/>
  <c r="M203" i="16"/>
  <c r="M206" i="16"/>
  <c r="M207" i="16"/>
  <c r="M208" i="16"/>
  <c r="M209" i="16"/>
  <c r="M210" i="16"/>
  <c r="M211" i="16"/>
  <c r="M212" i="16"/>
  <c r="M213" i="16"/>
  <c r="M214" i="16"/>
  <c r="M215" i="16"/>
  <c r="M216" i="16"/>
  <c r="M217" i="16"/>
  <c r="M218" i="16"/>
  <c r="M219" i="16"/>
  <c r="M220" i="16"/>
  <c r="M222" i="16"/>
  <c r="M223" i="16"/>
  <c r="M224" i="16"/>
  <c r="M225" i="16"/>
  <c r="M238" i="16"/>
  <c r="M239" i="16"/>
  <c r="M240" i="16"/>
  <c r="M241" i="16"/>
  <c r="M242" i="16"/>
  <c r="M243" i="16"/>
  <c r="M244" i="16"/>
  <c r="M245" i="16"/>
  <c r="M246" i="16"/>
  <c r="M247" i="16"/>
  <c r="M248" i="16"/>
  <c r="M249" i="16"/>
  <c r="M250" i="16"/>
  <c r="M251" i="16"/>
  <c r="M258" i="16"/>
  <c r="M259" i="16"/>
  <c r="M260" i="16"/>
  <c r="M261" i="16"/>
  <c r="M262" i="16"/>
  <c r="M263" i="16"/>
  <c r="M264" i="16"/>
  <c r="M265" i="16"/>
  <c r="M266" i="16"/>
  <c r="M267" i="16"/>
  <c r="M268" i="16"/>
  <c r="M269" i="16"/>
  <c r="M270" i="16"/>
  <c r="M271" i="16"/>
  <c r="M272" i="16"/>
  <c r="M273" i="16"/>
  <c r="M274" i="16"/>
  <c r="M275" i="16"/>
  <c r="M276" i="16"/>
  <c r="M277" i="16"/>
  <c r="M279" i="16"/>
  <c r="M280" i="16"/>
  <c r="M281" i="16"/>
  <c r="M282" i="16"/>
  <c r="M283" i="16"/>
  <c r="M286" i="16"/>
  <c r="M287" i="16"/>
  <c r="M288" i="16"/>
  <c r="M289" i="16"/>
  <c r="M290" i="16"/>
  <c r="M291" i="16"/>
  <c r="M292" i="16"/>
  <c r="M293" i="16"/>
  <c r="M294" i="16"/>
  <c r="M295" i="16"/>
  <c r="M296" i="16"/>
  <c r="M297" i="16"/>
  <c r="M298" i="16"/>
  <c r="M299" i="16"/>
  <c r="M300" i="16"/>
  <c r="M302" i="16"/>
  <c r="M303" i="16"/>
  <c r="M304" i="16"/>
  <c r="M305" i="16"/>
  <c r="M338" i="16"/>
  <c r="M339" i="16"/>
  <c r="M340" i="16"/>
  <c r="M341" i="16"/>
  <c r="M342" i="16"/>
  <c r="M343" i="16"/>
  <c r="M344" i="16"/>
  <c r="M345" i="16"/>
  <c r="M346" i="16"/>
  <c r="M347" i="16"/>
  <c r="M348" i="16"/>
  <c r="M350" i="16"/>
  <c r="M351" i="16"/>
  <c r="M352" i="16"/>
  <c r="M353" i="16"/>
  <c r="M354" i="16"/>
  <c r="M355" i="16"/>
  <c r="M356" i="16"/>
  <c r="M357" i="16"/>
  <c r="M359" i="16"/>
  <c r="M360" i="16"/>
  <c r="M361" i="16"/>
  <c r="M362" i="16"/>
  <c r="M363" i="16"/>
  <c r="M366" i="16"/>
  <c r="M367" i="16"/>
  <c r="M368" i="16"/>
  <c r="M369" i="16"/>
  <c r="M370" i="16"/>
  <c r="M371" i="16"/>
  <c r="M372" i="16"/>
  <c r="M373" i="16"/>
  <c r="M374" i="16"/>
  <c r="M375" i="16"/>
  <c r="M376" i="16"/>
  <c r="M377" i="16"/>
  <c r="M378" i="16"/>
  <c r="M379" i="16"/>
  <c r="M380" i="16"/>
  <c r="M382" i="16"/>
  <c r="M383" i="16"/>
  <c r="M384" i="16"/>
  <c r="M385" i="16"/>
  <c r="M2" i="16"/>
  <c r="V9" i="16"/>
  <c r="V8" i="16"/>
  <c r="V7" i="16"/>
  <c r="V4" i="16"/>
  <c r="V5" i="16"/>
  <c r="V3" i="16"/>
  <c r="V2" i="16"/>
  <c r="U12" i="16" l="1"/>
  <c r="U15" i="16"/>
  <c r="U11" i="16"/>
  <c r="W17" i="16"/>
  <c r="W18" i="16"/>
  <c r="V17" i="16"/>
  <c r="U14" i="16"/>
  <c r="E13" i="9" l="1"/>
  <c r="C13" i="9"/>
  <c r="B13" i="9"/>
  <c r="Q13" i="6"/>
  <c r="Q5" i="16"/>
  <c r="T15" i="2"/>
  <c r="Q2" i="16" s="1"/>
  <c r="T10" i="2"/>
  <c r="Q3" i="16" s="1"/>
  <c r="T4" i="2"/>
  <c r="Q4" i="16" s="1"/>
  <c r="AI209" i="2"/>
  <c r="AI208" i="2"/>
  <c r="AI207" i="2"/>
  <c r="AG208" i="2"/>
  <c r="AG207" i="2"/>
  <c r="AI206" i="2"/>
  <c r="AI205" i="2"/>
  <c r="AG206" i="2"/>
  <c r="AG139" i="2"/>
  <c r="AB210" i="2"/>
  <c r="AD210" i="2"/>
  <c r="AB204" i="2"/>
  <c r="AD204" i="2"/>
  <c r="AC204" i="2" s="1"/>
  <c r="BH3" i="15"/>
  <c r="BH4" i="15"/>
  <c r="BH5" i="15"/>
  <c r="BH6" i="15"/>
  <c r="BH7" i="15"/>
  <c r="BH8" i="15"/>
  <c r="BH9" i="15"/>
  <c r="BH10" i="15"/>
  <c r="BH11" i="15"/>
  <c r="BH12" i="15"/>
  <c r="BH13" i="15"/>
  <c r="BH14" i="15"/>
  <c r="BH15" i="15"/>
  <c r="BH16" i="15"/>
  <c r="BH17" i="15"/>
  <c r="BH18" i="15"/>
  <c r="BH19" i="15"/>
  <c r="BH20" i="15"/>
  <c r="BH21" i="15"/>
  <c r="BH22" i="15"/>
  <c r="BH23" i="15"/>
  <c r="BH24" i="15"/>
  <c r="BH25" i="15"/>
  <c r="BH26" i="15"/>
  <c r="BH27" i="15"/>
  <c r="BH28" i="15"/>
  <c r="BH29" i="15"/>
  <c r="BH30" i="15"/>
  <c r="BH31" i="15"/>
  <c r="BH32" i="15"/>
  <c r="BH33" i="15"/>
  <c r="BH34" i="15"/>
  <c r="BH35" i="15"/>
  <c r="BH36" i="15"/>
  <c r="BH37" i="15"/>
  <c r="BH38" i="15"/>
  <c r="BH39" i="15"/>
  <c r="BH40" i="15"/>
  <c r="BH41" i="15"/>
  <c r="BH42" i="15"/>
  <c r="BH43" i="15"/>
  <c r="BH44" i="15"/>
  <c r="BH45" i="15"/>
  <c r="BH46" i="15"/>
  <c r="BH47" i="15"/>
  <c r="BH48" i="15"/>
  <c r="BH49" i="15"/>
  <c r="BH50" i="15"/>
  <c r="BH51" i="15"/>
  <c r="BH52" i="15"/>
  <c r="BH53" i="15"/>
  <c r="BH54" i="15"/>
  <c r="BH55" i="15"/>
  <c r="BH56" i="15"/>
  <c r="BH57" i="15"/>
  <c r="BH58" i="15"/>
  <c r="BH59" i="15"/>
  <c r="BH60" i="15"/>
  <c r="BH61" i="15"/>
  <c r="BH62" i="15"/>
  <c r="BH63" i="15"/>
  <c r="BH64" i="15"/>
  <c r="BH65" i="15"/>
  <c r="BH66" i="15"/>
  <c r="BH67" i="15"/>
  <c r="BH68" i="15"/>
  <c r="BH69" i="15"/>
  <c r="BH70" i="15"/>
  <c r="BH71" i="15"/>
  <c r="BH72" i="15"/>
  <c r="BH73" i="15"/>
  <c r="BH74" i="15"/>
  <c r="BH75" i="15"/>
  <c r="BH76" i="15"/>
  <c r="BH77" i="15"/>
  <c r="BH78" i="15"/>
  <c r="BH79" i="15"/>
  <c r="BH80" i="15"/>
  <c r="BH81" i="15"/>
  <c r="BH82" i="15"/>
  <c r="BH83" i="15"/>
  <c r="BH84" i="15"/>
  <c r="BH85" i="15"/>
  <c r="BH86" i="15"/>
  <c r="BH87" i="15"/>
  <c r="BH88" i="15"/>
  <c r="BH89" i="15"/>
  <c r="BH90" i="15"/>
  <c r="BH91" i="15"/>
  <c r="BH92" i="15"/>
  <c r="BH93" i="15"/>
  <c r="BH94" i="15"/>
  <c r="BH95" i="15"/>
  <c r="BH96" i="15"/>
  <c r="BH97" i="15"/>
  <c r="BH98" i="15"/>
  <c r="BH99" i="15"/>
  <c r="BH100" i="15"/>
  <c r="BH101" i="15"/>
  <c r="BH102" i="15"/>
  <c r="BH103" i="15"/>
  <c r="BH104" i="15"/>
  <c r="BH105" i="15"/>
  <c r="BH106" i="15"/>
  <c r="BH107" i="15"/>
  <c r="BH108" i="15"/>
  <c r="BH109" i="15"/>
  <c r="BH110" i="15"/>
  <c r="BH111" i="15"/>
  <c r="BH112" i="15"/>
  <c r="BH113" i="15"/>
  <c r="BH114" i="15"/>
  <c r="BH115" i="15"/>
  <c r="BH116" i="15"/>
  <c r="BH117" i="15"/>
  <c r="BH118" i="15"/>
  <c r="BH119" i="15"/>
  <c r="BH120" i="15"/>
  <c r="BH121" i="15"/>
  <c r="BH122" i="15"/>
  <c r="BH123" i="15"/>
  <c r="BH124" i="15"/>
  <c r="BH125" i="15"/>
  <c r="BH126" i="15"/>
  <c r="BH127" i="15"/>
  <c r="BH128" i="15"/>
  <c r="BH129" i="15"/>
  <c r="BH130" i="15"/>
  <c r="BH131" i="15"/>
  <c r="BH132" i="15"/>
  <c r="BH133" i="15"/>
  <c r="BH134" i="15"/>
  <c r="BH135" i="15"/>
  <c r="BH136" i="15"/>
  <c r="BH137" i="15"/>
  <c r="BH138" i="15"/>
  <c r="BH139" i="15"/>
  <c r="BH140" i="15"/>
  <c r="BH141" i="15"/>
  <c r="BH142" i="15"/>
  <c r="BH143" i="15"/>
  <c r="BH144" i="15"/>
  <c r="BH145" i="15"/>
  <c r="BH146" i="15"/>
  <c r="BH147" i="15"/>
  <c r="BH148" i="15"/>
  <c r="BH149" i="15"/>
  <c r="BH150" i="15"/>
  <c r="BH151" i="15"/>
  <c r="BH152" i="15"/>
  <c r="BH153" i="15"/>
  <c r="BH154" i="15"/>
  <c r="BH155" i="15"/>
  <c r="BH156" i="15"/>
  <c r="BH157" i="15"/>
  <c r="BH158" i="15"/>
  <c r="BH159" i="15"/>
  <c r="BH160" i="15"/>
  <c r="BH161" i="15"/>
  <c r="BH162" i="15"/>
  <c r="BH163" i="15"/>
  <c r="BH164" i="15"/>
  <c r="BH165" i="15"/>
  <c r="BH166" i="15"/>
  <c r="BH167" i="15"/>
  <c r="BH168" i="15"/>
  <c r="BH169" i="15"/>
  <c r="BH170" i="15"/>
  <c r="BH171" i="15"/>
  <c r="BH172" i="15"/>
  <c r="BH173" i="15"/>
  <c r="BH174" i="15"/>
  <c r="BH175" i="15"/>
  <c r="BH176" i="15"/>
  <c r="BH177" i="15"/>
  <c r="BH178" i="15"/>
  <c r="BH179" i="15"/>
  <c r="BH180" i="15"/>
  <c r="BH181" i="15"/>
  <c r="BH182" i="15"/>
  <c r="BH183" i="15"/>
  <c r="BH184" i="15"/>
  <c r="BH185" i="15"/>
  <c r="BH186" i="15"/>
  <c r="BH187" i="15"/>
  <c r="BH188" i="15"/>
  <c r="BH189" i="15"/>
  <c r="BH190" i="15"/>
  <c r="BH191" i="15"/>
  <c r="BH192" i="15"/>
  <c r="BH193" i="15"/>
  <c r="BH194" i="15"/>
  <c r="BH195" i="15"/>
  <c r="BH196" i="15"/>
  <c r="BH197" i="15"/>
  <c r="BH198" i="15"/>
  <c r="BH199" i="15"/>
  <c r="BH200" i="15"/>
  <c r="BH201" i="15"/>
  <c r="BH202" i="15"/>
  <c r="BH203" i="15"/>
  <c r="BH204" i="15"/>
  <c r="BH205" i="15"/>
  <c r="BH206" i="15"/>
  <c r="BH207" i="15"/>
  <c r="BH208" i="15"/>
  <c r="BH209" i="15"/>
  <c r="BH210" i="15"/>
  <c r="BH211" i="15"/>
  <c r="BH212" i="15"/>
  <c r="BH213" i="15"/>
  <c r="BH214" i="15"/>
  <c r="BH215" i="15"/>
  <c r="BH216" i="15"/>
  <c r="BH217" i="15"/>
  <c r="BH218" i="15"/>
  <c r="BH219" i="15"/>
  <c r="BH2" i="15"/>
  <c r="AB207" i="2"/>
  <c r="AB208" i="2"/>
  <c r="AG205" i="2"/>
  <c r="AD205" i="2"/>
  <c r="AB205" i="2"/>
  <c r="AG201" i="2"/>
  <c r="Y3" i="2"/>
  <c r="AA91" i="2"/>
  <c r="AA12" i="2"/>
  <c r="AA92" i="2"/>
  <c r="BC55" i="2" l="1"/>
  <c r="BC54" i="2"/>
  <c r="BB18" i="2"/>
  <c r="BC53" i="2"/>
  <c r="AY16" i="2"/>
  <c r="AD202" i="2"/>
  <c r="AB202" i="2"/>
  <c r="AD245" i="2"/>
  <c r="AD243" i="2"/>
  <c r="AD203" i="2"/>
  <c r="AB203" i="2"/>
  <c r="AD208" i="2"/>
  <c r="AD207" i="2"/>
  <c r="AD206" i="2"/>
  <c r="AD209" i="2"/>
  <c r="AB209" i="2"/>
  <c r="AB201" i="2"/>
  <c r="AD201" i="2"/>
  <c r="AD244" i="2"/>
  <c r="AB206" i="2"/>
  <c r="AY52" i="2"/>
  <c r="AY55" i="2"/>
  <c r="AY53" i="2"/>
  <c r="AY30" i="2"/>
  <c r="AQ43" i="2"/>
  <c r="AY31" i="2"/>
  <c r="AY51" i="2"/>
  <c r="AQ42" i="2"/>
  <c r="AQ41" i="2"/>
  <c r="AY14" i="2"/>
  <c r="AY13" i="2"/>
  <c r="AY12" i="2"/>
  <c r="AY5" i="2"/>
  <c r="AY23" i="2"/>
  <c r="AY22" i="2"/>
  <c r="AQ52" i="2"/>
  <c r="AY24" i="2"/>
  <c r="AY11" i="2"/>
  <c r="AY17" i="2"/>
  <c r="AY19" i="2" s="1"/>
  <c r="Q6" i="16"/>
  <c r="AQ7" i="2"/>
  <c r="AS17" i="2"/>
  <c r="AY54" i="2"/>
  <c r="AY27" i="2"/>
  <c r="AS7" i="2"/>
  <c r="AQ17" i="2"/>
  <c r="AY6" i="2"/>
  <c r="BC31" i="2"/>
  <c r="AY18" i="2" l="1"/>
  <c r="AQ13" i="2"/>
  <c r="AR56" i="2" l="1"/>
  <c r="AR55" i="2"/>
  <c r="AR54" i="2"/>
  <c r="AR45" i="2"/>
  <c r="AR44" i="2"/>
  <c r="AR42" i="2"/>
  <c r="AR36" i="2"/>
  <c r="AR34" i="2"/>
  <c r="AR33" i="2"/>
  <c r="AR31" i="2"/>
  <c r="AR16" i="2"/>
  <c r="AR15" i="2"/>
  <c r="S11" i="6"/>
  <c r="S9" i="6"/>
  <c r="E108" i="2"/>
  <c r="E107" i="2"/>
  <c r="E106" i="2"/>
  <c r="E105" i="2"/>
  <c r="E104" i="2"/>
  <c r="E103" i="2"/>
  <c r="E102" i="2"/>
  <c r="E101" i="2"/>
  <c r="E100" i="2"/>
  <c r="E99" i="2"/>
  <c r="E98" i="2"/>
  <c r="E97" i="2"/>
  <c r="E96" i="2"/>
  <c r="E95" i="2"/>
  <c r="E94" i="2"/>
  <c r="E93" i="2"/>
  <c r="E92" i="2"/>
  <c r="AS46" i="2"/>
  <c r="AS35" i="2"/>
  <c r="D17" i="6" l="1"/>
  <c r="D15" i="6"/>
  <c r="D13" i="6"/>
  <c r="D11" i="6"/>
  <c r="D9" i="6"/>
  <c r="AK252" i="2"/>
  <c r="AK253" i="2"/>
  <c r="AK254" i="2"/>
  <c r="AK255" i="2"/>
  <c r="AK256" i="2"/>
  <c r="AK267" i="2"/>
  <c r="AK371" i="2"/>
  <c r="AK447" i="2"/>
  <c r="AK454" i="2"/>
  <c r="AK456" i="2"/>
  <c r="AK462" i="2"/>
  <c r="T13" i="6"/>
  <c r="B13" i="1" s="1"/>
  <c r="R13" i="6" s="1"/>
  <c r="N11" i="6"/>
  <c r="B11" i="1" s="1"/>
  <c r="D79" i="2" s="1"/>
  <c r="E79" i="2" s="1"/>
  <c r="N9" i="6"/>
  <c r="R53" i="6" s="1"/>
  <c r="AF157" i="2"/>
  <c r="AG158" i="2"/>
  <c r="AH162" i="2"/>
  <c r="AI171" i="2"/>
  <c r="AK501" i="2"/>
  <c r="AK500" i="2"/>
  <c r="AK499" i="2"/>
  <c r="AK498" i="2"/>
  <c r="AK497" i="2"/>
  <c r="AK496" i="2"/>
  <c r="AK495" i="2"/>
  <c r="AK494" i="2"/>
  <c r="AK493" i="2"/>
  <c r="AK492" i="2"/>
  <c r="AK491" i="2"/>
  <c r="AK490" i="2"/>
  <c r="AK489" i="2"/>
  <c r="AK488" i="2"/>
  <c r="AK487" i="2"/>
  <c r="AK486" i="2"/>
  <c r="AK485" i="2"/>
  <c r="AK484" i="2"/>
  <c r="AK483" i="2"/>
  <c r="AK482" i="2"/>
  <c r="AJ156" i="2"/>
  <c r="AJ155" i="2"/>
  <c r="AI224" i="2"/>
  <c r="AI223" i="2"/>
  <c r="AI222" i="2"/>
  <c r="AI72" i="2"/>
  <c r="AI71" i="2"/>
  <c r="AI70" i="2"/>
  <c r="AI69" i="2"/>
  <c r="AI68" i="2"/>
  <c r="AI67" i="2"/>
  <c r="AI66" i="2"/>
  <c r="AI65" i="2"/>
  <c r="AI64" i="2"/>
  <c r="AI63" i="2"/>
  <c r="AH233" i="2"/>
  <c r="AH61" i="2"/>
  <c r="AH60" i="2"/>
  <c r="AH59" i="2"/>
  <c r="AH58" i="2"/>
  <c r="AH57" i="2"/>
  <c r="AH56" i="2"/>
  <c r="AH55" i="2"/>
  <c r="AH54" i="2"/>
  <c r="AH53" i="2"/>
  <c r="AF89" i="2"/>
  <c r="AG89" i="2"/>
  <c r="AH89" i="2"/>
  <c r="AI89" i="2"/>
  <c r="AJ89" i="2"/>
  <c r="AF88" i="2"/>
  <c r="AG88" i="2"/>
  <c r="AH88" i="2"/>
  <c r="AI88" i="2"/>
  <c r="AJ88" i="2"/>
  <c r="AF87" i="2"/>
  <c r="AG87" i="2"/>
  <c r="AH87" i="2"/>
  <c r="AI87" i="2"/>
  <c r="AJ87" i="2"/>
  <c r="AF86" i="2"/>
  <c r="AG86" i="2"/>
  <c r="AH86" i="2"/>
  <c r="AI86" i="2"/>
  <c r="AJ86" i="2"/>
  <c r="AF85" i="2"/>
  <c r="AG85" i="2"/>
  <c r="AH85" i="2"/>
  <c r="AI85" i="2"/>
  <c r="AJ85" i="2"/>
  <c r="AF84" i="2"/>
  <c r="AG84" i="2"/>
  <c r="AH84" i="2"/>
  <c r="AI84" i="2"/>
  <c r="AJ84" i="2"/>
  <c r="AF83" i="2"/>
  <c r="AG83" i="2"/>
  <c r="AH83" i="2"/>
  <c r="AI83" i="2"/>
  <c r="AJ83" i="2"/>
  <c r="AF82" i="2"/>
  <c r="AG82" i="2"/>
  <c r="AH82" i="2"/>
  <c r="AI82" i="2"/>
  <c r="AJ82" i="2"/>
  <c r="AF49" i="2"/>
  <c r="AG49" i="2"/>
  <c r="AH49" i="2"/>
  <c r="AI49" i="2"/>
  <c r="AJ49" i="2"/>
  <c r="AF41" i="2"/>
  <c r="AG41" i="2"/>
  <c r="AH41" i="2"/>
  <c r="AI41" i="2"/>
  <c r="AJ41" i="2"/>
  <c r="AF39" i="2"/>
  <c r="AG39" i="2"/>
  <c r="AH39" i="2"/>
  <c r="AI39" i="2"/>
  <c r="AJ39" i="2"/>
  <c r="AF232" i="2"/>
  <c r="AG232" i="2"/>
  <c r="AH232" i="2"/>
  <c r="AI232" i="2"/>
  <c r="AJ232" i="2"/>
  <c r="AF52" i="2"/>
  <c r="AG52" i="2"/>
  <c r="AH52" i="2"/>
  <c r="AI52" i="2"/>
  <c r="AJ52" i="2"/>
  <c r="AF51" i="2"/>
  <c r="AG51" i="2"/>
  <c r="AH51" i="2"/>
  <c r="AI51" i="2"/>
  <c r="AJ51" i="2"/>
  <c r="AF50" i="2"/>
  <c r="AG50" i="2"/>
  <c r="AH50" i="2"/>
  <c r="AI50" i="2"/>
  <c r="AJ50" i="2"/>
  <c r="AF46" i="2"/>
  <c r="AG46" i="2"/>
  <c r="AH46" i="2"/>
  <c r="AI46" i="2"/>
  <c r="AJ46" i="2"/>
  <c r="AF47" i="2"/>
  <c r="AG47" i="2"/>
  <c r="AH47" i="2"/>
  <c r="AI47" i="2"/>
  <c r="AJ47" i="2"/>
  <c r="AF48" i="2"/>
  <c r="AG48" i="2"/>
  <c r="AH48" i="2"/>
  <c r="AI48" i="2"/>
  <c r="AJ48" i="2"/>
  <c r="AF45" i="2"/>
  <c r="AG45" i="2"/>
  <c r="AH45" i="2"/>
  <c r="AI45" i="2"/>
  <c r="AJ45" i="2"/>
  <c r="AF44" i="2"/>
  <c r="AG44" i="2"/>
  <c r="AH44" i="2"/>
  <c r="AI44" i="2"/>
  <c r="AJ44" i="2"/>
  <c r="AF43" i="2"/>
  <c r="AG43" i="2"/>
  <c r="AH43" i="2"/>
  <c r="AI43" i="2"/>
  <c r="AJ43" i="2"/>
  <c r="AF42" i="2"/>
  <c r="AG42" i="2"/>
  <c r="AH42" i="2"/>
  <c r="AI42" i="2"/>
  <c r="AJ42" i="2"/>
  <c r="AF40" i="2"/>
  <c r="AG40" i="2"/>
  <c r="AH40" i="2"/>
  <c r="AI40" i="2"/>
  <c r="AJ40" i="2"/>
  <c r="AF231" i="2"/>
  <c r="AG231" i="2"/>
  <c r="AH231" i="2"/>
  <c r="AI231" i="2"/>
  <c r="AJ231" i="2"/>
  <c r="AF81" i="2"/>
  <c r="AG81" i="2"/>
  <c r="AH81" i="2"/>
  <c r="AI81" i="2"/>
  <c r="AJ81" i="2"/>
  <c r="AF80" i="2"/>
  <c r="AG80" i="2"/>
  <c r="AH80" i="2"/>
  <c r="AI80" i="2"/>
  <c r="AJ80" i="2"/>
  <c r="AF79" i="2"/>
  <c r="AG79" i="2"/>
  <c r="AH79" i="2"/>
  <c r="AI79" i="2"/>
  <c r="AJ79" i="2"/>
  <c r="AF78" i="2"/>
  <c r="AG78" i="2"/>
  <c r="AH78" i="2"/>
  <c r="AI78" i="2"/>
  <c r="AJ78" i="2"/>
  <c r="AF77" i="2"/>
  <c r="AG77" i="2"/>
  <c r="AH77" i="2"/>
  <c r="AI77" i="2"/>
  <c r="AJ77" i="2"/>
  <c r="AF76" i="2"/>
  <c r="AG76" i="2"/>
  <c r="AH76" i="2"/>
  <c r="AI76" i="2"/>
  <c r="AJ76" i="2"/>
  <c r="AF75" i="2"/>
  <c r="AG75" i="2"/>
  <c r="AH75" i="2"/>
  <c r="AI75" i="2"/>
  <c r="AJ75" i="2"/>
  <c r="AF74" i="2"/>
  <c r="AG74" i="2"/>
  <c r="AH74" i="2"/>
  <c r="AI74" i="2"/>
  <c r="AJ74" i="2"/>
  <c r="AF73" i="2"/>
  <c r="AG73" i="2"/>
  <c r="AH73" i="2"/>
  <c r="AI73" i="2"/>
  <c r="AJ73" i="2"/>
  <c r="AF34" i="2"/>
  <c r="AG34" i="2"/>
  <c r="AH34" i="2"/>
  <c r="AI34" i="2"/>
  <c r="AJ34" i="2"/>
  <c r="AF33" i="2"/>
  <c r="AG33" i="2"/>
  <c r="AH33" i="2"/>
  <c r="AI33" i="2"/>
  <c r="AJ33" i="2"/>
  <c r="AF37" i="2"/>
  <c r="AG37" i="2"/>
  <c r="AH37" i="2"/>
  <c r="AI37" i="2"/>
  <c r="AJ37" i="2"/>
  <c r="AF36" i="2"/>
  <c r="AG36" i="2"/>
  <c r="AH36" i="2"/>
  <c r="AI36" i="2"/>
  <c r="AJ36" i="2"/>
  <c r="AF35" i="2"/>
  <c r="AG35" i="2"/>
  <c r="AH35" i="2"/>
  <c r="AI35" i="2"/>
  <c r="AJ35" i="2"/>
  <c r="AF32" i="2"/>
  <c r="AG32" i="2"/>
  <c r="AH32" i="2"/>
  <c r="AI32" i="2"/>
  <c r="AJ32" i="2"/>
  <c r="AF31" i="2"/>
  <c r="AG31" i="2"/>
  <c r="AH31" i="2"/>
  <c r="AI31" i="2"/>
  <c r="AJ31" i="2"/>
  <c r="AF30" i="2"/>
  <c r="AG30" i="2"/>
  <c r="AH30" i="2"/>
  <c r="AI30" i="2"/>
  <c r="AJ30" i="2"/>
  <c r="AF29" i="2"/>
  <c r="AG29" i="2"/>
  <c r="AH29" i="2"/>
  <c r="AI29" i="2"/>
  <c r="AJ29" i="2"/>
  <c r="AF28" i="2"/>
  <c r="AG28" i="2"/>
  <c r="AH28" i="2"/>
  <c r="AI28" i="2"/>
  <c r="AJ28" i="2"/>
  <c r="AF27" i="2"/>
  <c r="AG27" i="2"/>
  <c r="AH27" i="2"/>
  <c r="AI27" i="2"/>
  <c r="AJ27" i="2"/>
  <c r="AF26" i="2"/>
  <c r="AG26" i="2"/>
  <c r="AH26" i="2"/>
  <c r="AI26" i="2"/>
  <c r="AJ26" i="2"/>
  <c r="AF141" i="2"/>
  <c r="AG141" i="2"/>
  <c r="AH141" i="2"/>
  <c r="AI141" i="2"/>
  <c r="AJ141" i="2"/>
  <c r="AF140" i="2"/>
  <c r="AG140" i="2"/>
  <c r="AH140" i="2"/>
  <c r="AI140" i="2"/>
  <c r="AJ140" i="2"/>
  <c r="AF92" i="2"/>
  <c r="AG92" i="2"/>
  <c r="AH92" i="2"/>
  <c r="AI92" i="2"/>
  <c r="AJ92" i="2"/>
  <c r="AF91" i="2"/>
  <c r="AG91" i="2"/>
  <c r="AH91" i="2"/>
  <c r="AI91" i="2"/>
  <c r="AJ91" i="2"/>
  <c r="AF142" i="2"/>
  <c r="AG142" i="2"/>
  <c r="AH142" i="2"/>
  <c r="AI142" i="2"/>
  <c r="AJ142" i="2"/>
  <c r="AF139" i="2"/>
  <c r="AH139" i="2"/>
  <c r="AI139" i="2"/>
  <c r="AJ139" i="2"/>
  <c r="AF138" i="2"/>
  <c r="AG138" i="2"/>
  <c r="AH138" i="2"/>
  <c r="AI138" i="2"/>
  <c r="AJ138" i="2"/>
  <c r="AF137" i="2"/>
  <c r="AG137" i="2"/>
  <c r="AH137" i="2"/>
  <c r="AI137" i="2"/>
  <c r="AJ137" i="2"/>
  <c r="AF136" i="2"/>
  <c r="AG136" i="2"/>
  <c r="AH136" i="2"/>
  <c r="AI136" i="2"/>
  <c r="AJ136" i="2"/>
  <c r="AF121" i="2"/>
  <c r="AG121" i="2"/>
  <c r="AH121" i="2"/>
  <c r="AI121" i="2"/>
  <c r="AJ121" i="2"/>
  <c r="AF120" i="2"/>
  <c r="AG120" i="2"/>
  <c r="AH120" i="2"/>
  <c r="AI120" i="2"/>
  <c r="AJ120" i="2"/>
  <c r="AF119" i="2"/>
  <c r="AG119" i="2"/>
  <c r="AH119" i="2"/>
  <c r="AI119" i="2"/>
  <c r="AJ119" i="2"/>
  <c r="AF118" i="2"/>
  <c r="AG118" i="2"/>
  <c r="AH118" i="2"/>
  <c r="AI118" i="2"/>
  <c r="AJ118" i="2"/>
  <c r="AF117" i="2"/>
  <c r="AG117" i="2"/>
  <c r="AH117" i="2"/>
  <c r="AI117" i="2"/>
  <c r="AJ117" i="2"/>
  <c r="AF116" i="2"/>
  <c r="AG116" i="2"/>
  <c r="AH116" i="2"/>
  <c r="AI116" i="2"/>
  <c r="AJ116" i="2"/>
  <c r="AF115" i="2"/>
  <c r="AG115" i="2"/>
  <c r="AH115" i="2"/>
  <c r="AI115" i="2"/>
  <c r="AJ115" i="2"/>
  <c r="AF114" i="2"/>
  <c r="AG114" i="2"/>
  <c r="AH114" i="2"/>
  <c r="AI114" i="2"/>
  <c r="AJ114" i="2"/>
  <c r="AF113" i="2"/>
  <c r="AG113" i="2"/>
  <c r="AH113" i="2"/>
  <c r="AI113" i="2"/>
  <c r="AJ113" i="2"/>
  <c r="AF112" i="2"/>
  <c r="AG112" i="2"/>
  <c r="AH112" i="2"/>
  <c r="AI112" i="2"/>
  <c r="AJ112" i="2"/>
  <c r="AF110" i="2"/>
  <c r="AG110" i="2"/>
  <c r="AH110" i="2"/>
  <c r="AI110" i="2"/>
  <c r="AJ110" i="2"/>
  <c r="AF24" i="2"/>
  <c r="AG24" i="2"/>
  <c r="AH24" i="2"/>
  <c r="AI24" i="2"/>
  <c r="AJ24" i="2"/>
  <c r="AF25" i="2"/>
  <c r="AG25" i="2"/>
  <c r="AH25" i="2"/>
  <c r="AI25" i="2"/>
  <c r="AJ25" i="2"/>
  <c r="AF23" i="2"/>
  <c r="AG23" i="2"/>
  <c r="AH23" i="2"/>
  <c r="AI23" i="2"/>
  <c r="AJ23" i="2"/>
  <c r="AF4" i="2"/>
  <c r="AG4" i="2"/>
  <c r="AH4" i="2"/>
  <c r="AI4" i="2"/>
  <c r="AJ4" i="2"/>
  <c r="I31" i="2"/>
  <c r="L31" i="2"/>
  <c r="AR35" i="2"/>
  <c r="AR46" i="2"/>
  <c r="AQ56" i="2"/>
  <c r="P102" i="2"/>
  <c r="P103" i="2"/>
  <c r="P104" i="2"/>
  <c r="P105" i="2"/>
  <c r="P106" i="2"/>
  <c r="L107" i="2"/>
  <c r="L108" i="2"/>
  <c r="A113" i="2"/>
  <c r="C113" i="2"/>
  <c r="D113" i="2"/>
  <c r="AD13" i="2"/>
  <c r="AD29" i="2"/>
  <c r="AC29" i="2" s="1"/>
  <c r="AD188" i="2"/>
  <c r="AB168" i="2"/>
  <c r="AD138" i="2"/>
  <c r="AD57" i="2"/>
  <c r="AC57" i="2" s="1"/>
  <c r="AB117" i="2"/>
  <c r="AB110" i="2"/>
  <c r="AC104" i="2"/>
  <c r="AC217" i="2"/>
  <c r="AF159" i="2"/>
  <c r="AF167" i="2"/>
  <c r="AC94" i="2"/>
  <c r="AC108" i="2"/>
  <c r="AC201" i="2"/>
  <c r="AC199" i="2"/>
  <c r="AC102" i="2"/>
  <c r="AC200" i="2"/>
  <c r="AC227" i="2"/>
  <c r="AC107" i="2"/>
  <c r="AC95" i="2"/>
  <c r="AD119" i="2"/>
  <c r="AD160" i="2"/>
  <c r="AB158" i="2"/>
  <c r="AB184" i="2"/>
  <c r="AB197" i="2"/>
  <c r="AB196" i="2"/>
  <c r="AB155" i="2"/>
  <c r="AB176" i="2"/>
  <c r="AB171" i="2"/>
  <c r="AB149" i="2"/>
  <c r="AB90" i="2"/>
  <c r="AB89" i="2"/>
  <c r="AD150" i="2"/>
  <c r="AD83" i="2"/>
  <c r="AD52" i="2"/>
  <c r="AD33" i="2"/>
  <c r="AC33" i="2" s="1"/>
  <c r="AD19" i="2"/>
  <c r="AD28" i="2"/>
  <c r="AD30" i="2"/>
  <c r="D58" i="2" s="1"/>
  <c r="AD183" i="2"/>
  <c r="AC183" i="2" s="1"/>
  <c r="AD130" i="2"/>
  <c r="AD133" i="2"/>
  <c r="AD167" i="2"/>
  <c r="AD170" i="2"/>
  <c r="AC170" i="2" s="1"/>
  <c r="AD193" i="2"/>
  <c r="AD146" i="2"/>
  <c r="AD181" i="2"/>
  <c r="AD115" i="2"/>
  <c r="AC115" i="2" s="1"/>
  <c r="AD198" i="2"/>
  <c r="AB21" i="2"/>
  <c r="AB161" i="2"/>
  <c r="AD120" i="2"/>
  <c r="AC120" i="2" s="1"/>
  <c r="AB156" i="2"/>
  <c r="AB154" i="2"/>
  <c r="AB220" i="2"/>
  <c r="AD77" i="2"/>
  <c r="AC77" i="2" s="1"/>
  <c r="AD46" i="2"/>
  <c r="G58" i="2" s="1"/>
  <c r="AB131" i="2"/>
  <c r="AD110" i="2"/>
  <c r="AB234" i="2"/>
  <c r="AB57" i="2"/>
  <c r="AB125" i="2"/>
  <c r="AD43" i="2"/>
  <c r="AD242" i="2"/>
  <c r="AC242" i="2" s="1"/>
  <c r="AD49" i="2"/>
  <c r="G72" i="2" s="1"/>
  <c r="AB43" i="2"/>
  <c r="AD134" i="2"/>
  <c r="AD232" i="2"/>
  <c r="AC232" i="2" s="1"/>
  <c r="AD25" i="2"/>
  <c r="D60" i="2" s="1"/>
  <c r="AD9" i="2"/>
  <c r="AB138" i="2"/>
  <c r="AD48" i="2"/>
  <c r="AC48" i="2" s="1"/>
  <c r="AB86" i="2"/>
  <c r="AB41" i="2"/>
  <c r="AB235" i="2"/>
  <c r="AB240" i="2"/>
  <c r="AB224" i="2"/>
  <c r="AB47" i="2"/>
  <c r="AB83" i="2"/>
  <c r="AB16" i="2"/>
  <c r="AD237" i="2"/>
  <c r="AC237" i="2" s="1"/>
  <c r="AB29" i="2"/>
  <c r="AB137" i="2"/>
  <c r="AB140" i="2"/>
  <c r="AD45" i="2"/>
  <c r="AD86" i="2"/>
  <c r="AD88" i="2"/>
  <c r="AD41" i="2"/>
  <c r="G60" i="2" s="1"/>
  <c r="AB236" i="2"/>
  <c r="AD240" i="2"/>
  <c r="AD239" i="2"/>
  <c r="AB189" i="2"/>
  <c r="AB141" i="2"/>
  <c r="AB36" i="2"/>
  <c r="AB115" i="2"/>
  <c r="AD187" i="2"/>
  <c r="AC187" i="2" s="1"/>
  <c r="AB5" i="2"/>
  <c r="AD16" i="2"/>
  <c r="AD224" i="2"/>
  <c r="AB232" i="2"/>
  <c r="AD18" i="2"/>
  <c r="AB25" i="2"/>
  <c r="AB75" i="2"/>
  <c r="AD137" i="2"/>
  <c r="AC137" i="2" s="1"/>
  <c r="AD42" i="2"/>
  <c r="AB40" i="2"/>
  <c r="AB88" i="2"/>
  <c r="AD87" i="2"/>
  <c r="H73" i="2" s="1"/>
  <c r="AD90" i="2"/>
  <c r="AD236" i="2"/>
  <c r="AD5" i="2"/>
  <c r="AB4" i="2"/>
  <c r="AO17" i="2" s="1"/>
  <c r="AB48" i="2"/>
  <c r="AD74" i="2"/>
  <c r="D72" i="2" s="1"/>
  <c r="AB237" i="2"/>
  <c r="AD4" i="2"/>
  <c r="AC4" i="2" s="1"/>
  <c r="AT17" i="2" s="1"/>
  <c r="AD118" i="2"/>
  <c r="AB239" i="2"/>
  <c r="AB112" i="2"/>
  <c r="AB183" i="2"/>
  <c r="AB78" i="2"/>
  <c r="AB128" i="2"/>
  <c r="AD73" i="2"/>
  <c r="AD145" i="2"/>
  <c r="AC145" i="2" s="1"/>
  <c r="AB221" i="2"/>
  <c r="AB133" i="2"/>
  <c r="AB31" i="2"/>
  <c r="Y1" i="2"/>
  <c r="AD197" i="2"/>
  <c r="AD85" i="2"/>
  <c r="AC85" i="2" s="1"/>
  <c r="AD140" i="2"/>
  <c r="AD10" i="2"/>
  <c r="AC10" i="2" s="1"/>
  <c r="AD81" i="2"/>
  <c r="AD36" i="2"/>
  <c r="AC36" i="2" s="1"/>
  <c r="AD17" i="2"/>
  <c r="AD155" i="2"/>
  <c r="AC155" i="2" s="1"/>
  <c r="AD129" i="2"/>
  <c r="AD135" i="2"/>
  <c r="AC135" i="2" s="1"/>
  <c r="AD211" i="2"/>
  <c r="N61" i="2" s="1"/>
  <c r="AD194" i="2"/>
  <c r="AC194" i="2" s="1"/>
  <c r="AD61" i="2"/>
  <c r="AD71" i="2"/>
  <c r="AC71" i="2" s="1"/>
  <c r="AD189" i="2"/>
  <c r="AD89" i="2"/>
  <c r="AC89" i="2" s="1"/>
  <c r="AB118" i="2"/>
  <c r="AD72" i="2"/>
  <c r="AC72" i="2" s="1"/>
  <c r="AB45" i="2"/>
  <c r="AB15" i="2"/>
  <c r="AB42" i="2"/>
  <c r="AD64" i="2"/>
  <c r="K59" i="2" s="1"/>
  <c r="AB192" i="2"/>
  <c r="AB85" i="2"/>
  <c r="AD60" i="2"/>
  <c r="AC60" i="2" s="1"/>
  <c r="AD122" i="2"/>
  <c r="AC122" i="2" s="1"/>
  <c r="AD32" i="2"/>
  <c r="AD174" i="2"/>
  <c r="AC174" i="2" s="1"/>
  <c r="AD114" i="2"/>
  <c r="AC114" i="2" s="1"/>
  <c r="AD192" i="2"/>
  <c r="AC192" i="2" s="1"/>
  <c r="AD164" i="2"/>
  <c r="AD82" i="2"/>
  <c r="AC82" i="2" s="1"/>
  <c r="AD47" i="2"/>
  <c r="AC47" i="2" s="1"/>
  <c r="AB231" i="2"/>
  <c r="AB242" i="2"/>
  <c r="S53" i="6" l="1"/>
  <c r="T53" i="6" s="1"/>
  <c r="V53" i="6" s="1"/>
  <c r="AZ23" i="2"/>
  <c r="F22" i="2"/>
  <c r="G22" i="2" s="1"/>
  <c r="D83" i="2"/>
  <c r="E83" i="2" s="1"/>
  <c r="D120" i="2"/>
  <c r="E120" i="2" s="1"/>
  <c r="AC208" i="2"/>
  <c r="AC205" i="2"/>
  <c r="AC244" i="2"/>
  <c r="AC243" i="2"/>
  <c r="AC206" i="2"/>
  <c r="AC202" i="2"/>
  <c r="AC245" i="2"/>
  <c r="AC207" i="2"/>
  <c r="AC203" i="2"/>
  <c r="I13" i="2"/>
  <c r="B20" i="2"/>
  <c r="M21" i="2"/>
  <c r="C9" i="2"/>
  <c r="M20" i="2"/>
  <c r="AQ45" i="2"/>
  <c r="M25" i="2"/>
  <c r="AQ34" i="2"/>
  <c r="M22" i="2"/>
  <c r="B22" i="2"/>
  <c r="B21" i="2"/>
  <c r="I8" i="2"/>
  <c r="AF168" i="2"/>
  <c r="AF165" i="2"/>
  <c r="M107" i="2"/>
  <c r="AD7" i="2"/>
  <c r="E59" i="2" s="1"/>
  <c r="AB244" i="2"/>
  <c r="AB243" i="2"/>
  <c r="AB245" i="2"/>
  <c r="AC164" i="2"/>
  <c r="AC32" i="2"/>
  <c r="AC189" i="2"/>
  <c r="AC17" i="2"/>
  <c r="AC140" i="2"/>
  <c r="AC73" i="2"/>
  <c r="AC5" i="2"/>
  <c r="AC224" i="2"/>
  <c r="AC239" i="2"/>
  <c r="AC88" i="2"/>
  <c r="AC134" i="2"/>
  <c r="AC43" i="2"/>
  <c r="AC110" i="2"/>
  <c r="AC181" i="2"/>
  <c r="AC167" i="2"/>
  <c r="AC52" i="2"/>
  <c r="AC97" i="2"/>
  <c r="AC216" i="2"/>
  <c r="AC218" i="2"/>
  <c r="AC99" i="2"/>
  <c r="AC103" i="2"/>
  <c r="AC215" i="2"/>
  <c r="AC98" i="2"/>
  <c r="AC225" i="2"/>
  <c r="AC138" i="2"/>
  <c r="AC13" i="2"/>
  <c r="AC236" i="2"/>
  <c r="AC16" i="2"/>
  <c r="AC240" i="2"/>
  <c r="AC86" i="2"/>
  <c r="AC9" i="2"/>
  <c r="AC146" i="2"/>
  <c r="AC133" i="2"/>
  <c r="BE31" i="2" s="1"/>
  <c r="AC28" i="2"/>
  <c r="AC83" i="2"/>
  <c r="AC160" i="2"/>
  <c r="AC96" i="2"/>
  <c r="AC229" i="2"/>
  <c r="M108" i="2"/>
  <c r="AC226" i="2"/>
  <c r="AC105" i="2"/>
  <c r="AC93" i="2"/>
  <c r="AC100" i="2"/>
  <c r="AC209" i="2"/>
  <c r="AC106" i="2"/>
  <c r="AC214" i="2"/>
  <c r="AC61" i="2"/>
  <c r="AC129" i="2"/>
  <c r="AC81" i="2"/>
  <c r="AC197" i="2"/>
  <c r="AC118" i="2"/>
  <c r="AC90" i="2"/>
  <c r="AC42" i="2"/>
  <c r="AC18" i="2"/>
  <c r="AC45" i="2"/>
  <c r="AC198" i="2"/>
  <c r="AC193" i="2"/>
  <c r="AC130" i="2"/>
  <c r="AC19" i="2"/>
  <c r="AC150" i="2"/>
  <c r="AC119" i="2"/>
  <c r="AC230" i="2"/>
  <c r="AC228" i="2"/>
  <c r="AC213" i="2"/>
  <c r="AC212" i="2"/>
  <c r="AC219" i="2"/>
  <c r="AC109" i="2"/>
  <c r="AC101" i="2"/>
  <c r="AC210" i="2"/>
  <c r="AF161" i="2"/>
  <c r="AF154" i="2"/>
  <c r="AF166" i="2"/>
  <c r="BA25" i="2"/>
  <c r="BA14" i="2"/>
  <c r="AQ26" i="2"/>
  <c r="BC30" i="2"/>
  <c r="AZ25" i="2"/>
  <c r="AY25" i="2"/>
  <c r="AQ54" i="2"/>
  <c r="N14" i="2"/>
  <c r="F105" i="2"/>
  <c r="F23" i="2"/>
  <c r="G23" i="2" s="1"/>
  <c r="F92" i="2"/>
  <c r="F28" i="2"/>
  <c r="G28" i="2" s="1"/>
  <c r="F102" i="2"/>
  <c r="N13" i="2"/>
  <c r="K13" i="2"/>
  <c r="D82" i="2"/>
  <c r="E82" i="2" s="1"/>
  <c r="AB12" i="2"/>
  <c r="AO7" i="2" s="1"/>
  <c r="F25" i="2"/>
  <c r="G25" i="2" s="1"/>
  <c r="F95" i="2"/>
  <c r="F27" i="2"/>
  <c r="G27" i="2" s="1"/>
  <c r="AB11" i="2"/>
  <c r="AB74" i="2"/>
  <c r="AB169" i="2"/>
  <c r="AB222" i="2"/>
  <c r="AD142" i="2"/>
  <c r="AC142" i="2" s="1"/>
  <c r="AB59" i="2"/>
  <c r="AB19" i="2"/>
  <c r="AB28" i="2"/>
  <c r="AD173" i="2"/>
  <c r="AC173" i="2" s="1"/>
  <c r="AD166" i="2"/>
  <c r="AC166" i="2" s="1"/>
  <c r="AD40" i="2"/>
  <c r="G59" i="2" s="1"/>
  <c r="AD124" i="2"/>
  <c r="AC124" i="2" s="1"/>
  <c r="AB92" i="2"/>
  <c r="AB91" i="2"/>
  <c r="AD185" i="2"/>
  <c r="L92" i="2" s="1"/>
  <c r="AB193" i="2"/>
  <c r="AB195" i="2"/>
  <c r="BD54" i="2" s="1"/>
  <c r="AD191" i="2"/>
  <c r="AC191" i="2" s="1"/>
  <c r="AD147" i="2"/>
  <c r="AC147" i="2" s="1"/>
  <c r="AB114" i="2"/>
  <c r="AB159" i="2"/>
  <c r="AB162" i="2"/>
  <c r="AO52" i="2" s="1"/>
  <c r="AD37" i="2"/>
  <c r="AC37" i="2" s="1"/>
  <c r="AB10" i="2"/>
  <c r="AB211" i="2"/>
  <c r="AO56" i="2" s="1"/>
  <c r="AB153" i="2"/>
  <c r="AD117" i="2"/>
  <c r="AC117" i="2" s="1"/>
  <c r="AD21" i="2"/>
  <c r="AC21" i="2" s="1"/>
  <c r="AB119" i="2"/>
  <c r="AB87" i="2"/>
  <c r="AB177" i="2"/>
  <c r="AB134" i="2"/>
  <c r="AD65" i="2"/>
  <c r="AC65" i="2" s="1"/>
  <c r="AD184" i="2"/>
  <c r="L100" i="2" s="1"/>
  <c r="AD154" i="2"/>
  <c r="AC154" i="2" s="1"/>
  <c r="AC41" i="2"/>
  <c r="AG160" i="2"/>
  <c r="AF170" i="2"/>
  <c r="AG169" i="2"/>
  <c r="AG163" i="2"/>
  <c r="AF164" i="2"/>
  <c r="E57" i="2"/>
  <c r="J58" i="2"/>
  <c r="L58" i="2" s="1"/>
  <c r="AC49" i="2"/>
  <c r="E58" i="2"/>
  <c r="G73" i="2"/>
  <c r="I73" i="2" s="1"/>
  <c r="G65" i="2"/>
  <c r="K62" i="2"/>
  <c r="L62" i="2" s="1"/>
  <c r="AC46" i="2"/>
  <c r="D73" i="2"/>
  <c r="N60" i="2"/>
  <c r="AC74" i="2"/>
  <c r="N59" i="2"/>
  <c r="F72" i="2"/>
  <c r="C68" i="2"/>
  <c r="L98" i="2"/>
  <c r="M98" i="2" s="1"/>
  <c r="AC211" i="2"/>
  <c r="AT56" i="2" s="1"/>
  <c r="AV56" i="2" s="1"/>
  <c r="N65" i="2"/>
  <c r="N67" i="2"/>
  <c r="AC30" i="2"/>
  <c r="L94" i="2"/>
  <c r="M94" i="2" s="1"/>
  <c r="AC64" i="2"/>
  <c r="D65" i="2"/>
  <c r="AC25" i="2"/>
  <c r="F31" i="2"/>
  <c r="F97" i="2"/>
  <c r="N16" i="2"/>
  <c r="C8" i="2"/>
  <c r="D86" i="2"/>
  <c r="E86" i="2" s="1"/>
  <c r="F107" i="2"/>
  <c r="F26" i="2"/>
  <c r="G26" i="2" s="1"/>
  <c r="F96" i="2"/>
  <c r="K9" i="2"/>
  <c r="F106" i="2"/>
  <c r="D121" i="2"/>
  <c r="E121" i="2" s="1"/>
  <c r="F103" i="2"/>
  <c r="D84" i="2"/>
  <c r="E84" i="2" s="1"/>
  <c r="K8" i="2"/>
  <c r="AR17" i="2" s="1"/>
  <c r="AV17" i="2" s="1"/>
  <c r="R11" i="6"/>
  <c r="D81" i="2"/>
  <c r="E81" i="2" s="1"/>
  <c r="D80" i="2"/>
  <c r="E80" i="2" s="1"/>
  <c r="F100" i="2"/>
  <c r="B25" i="2"/>
  <c r="F24" i="2"/>
  <c r="G24" i="2" s="1"/>
  <c r="F108" i="2"/>
  <c r="AZ32" i="2"/>
  <c r="I9" i="2"/>
  <c r="C13" i="2"/>
  <c r="I10" i="2"/>
  <c r="C10" i="2"/>
  <c r="D122" i="2"/>
  <c r="E122" i="2" s="1"/>
  <c r="F104" i="2"/>
  <c r="N10" i="2"/>
  <c r="F21" i="2"/>
  <c r="G21" i="2" s="1"/>
  <c r="F20" i="2"/>
  <c r="G20" i="2" s="1"/>
  <c r="N8" i="2"/>
  <c r="F99" i="2"/>
  <c r="K10" i="2"/>
  <c r="AZ43" i="2"/>
  <c r="C16" i="2"/>
  <c r="B9" i="1"/>
  <c r="AD12" i="2"/>
  <c r="F57" i="2" s="1"/>
  <c r="N66" i="2"/>
  <c r="N64" i="2"/>
  <c r="S13" i="6"/>
  <c r="D85" i="2"/>
  <c r="E85" i="2" s="1"/>
  <c r="D123" i="2"/>
  <c r="E123" i="2" s="1"/>
  <c r="F94" i="2"/>
  <c r="F101" i="2"/>
  <c r="F93" i="2"/>
  <c r="N9" i="2"/>
  <c r="F98" i="2"/>
  <c r="G57" i="2"/>
  <c r="AC87" i="2"/>
  <c r="L106" i="2"/>
  <c r="C67" i="2"/>
  <c r="L69" i="2"/>
  <c r="AC188" i="2"/>
  <c r="AD223" i="2"/>
  <c r="AC223" i="2" s="1"/>
  <c r="AD80" i="2"/>
  <c r="AC80" i="2" s="1"/>
  <c r="AD23" i="2"/>
  <c r="AD75" i="2"/>
  <c r="AC75" i="2" s="1"/>
  <c r="AB188" i="2"/>
  <c r="AD175" i="2"/>
  <c r="AC175" i="2" s="1"/>
  <c r="AB39" i="2"/>
  <c r="AZ27" i="2" s="1"/>
  <c r="AO26" i="2" s="1"/>
  <c r="AB127" i="2"/>
  <c r="AB80" i="2"/>
  <c r="AB64" i="2"/>
  <c r="AD78" i="2"/>
  <c r="AC78" i="2" s="1"/>
  <c r="AD231" i="2"/>
  <c r="AC231" i="2" s="1"/>
  <c r="AB148" i="2"/>
  <c r="AB173" i="2"/>
  <c r="AD67" i="2"/>
  <c r="AC67" i="2" s="1"/>
  <c r="AD58" i="2"/>
  <c r="K66" i="2" s="1"/>
  <c r="AD220" i="2"/>
  <c r="AC220" i="2" s="1"/>
  <c r="AD20" i="2"/>
  <c r="AC20" i="2" s="1"/>
  <c r="AD11" i="2"/>
  <c r="AC11" i="2" s="1"/>
  <c r="BA15" i="2" s="1"/>
  <c r="AD141" i="2"/>
  <c r="AC141" i="2" s="1"/>
  <c r="AD238" i="2"/>
  <c r="AC238" i="2" s="1"/>
  <c r="AB180" i="2"/>
  <c r="AB170" i="2"/>
  <c r="AB147" i="2"/>
  <c r="AB157" i="2"/>
  <c r="AB18" i="2"/>
  <c r="AB55" i="2"/>
  <c r="AB44" i="2"/>
  <c r="AB233" i="2"/>
  <c r="AB58" i="2"/>
  <c r="AD6" i="2"/>
  <c r="AC6" i="2" s="1"/>
  <c r="AB30" i="2"/>
  <c r="AB160" i="2"/>
  <c r="AB164" i="2"/>
  <c r="AD172" i="2"/>
  <c r="AC172" i="2" s="1"/>
  <c r="AD39" i="2"/>
  <c r="G64" i="2" s="1"/>
  <c r="AB129" i="2"/>
  <c r="AB50" i="2"/>
  <c r="AB181" i="2"/>
  <c r="AB166" i="2"/>
  <c r="AD125" i="2"/>
  <c r="AC125" i="2" s="1"/>
  <c r="AD59" i="2"/>
  <c r="AC59" i="2" s="1"/>
  <c r="AD31" i="2"/>
  <c r="AC31" i="2" s="1"/>
  <c r="AD127" i="2"/>
  <c r="AB52" i="2"/>
  <c r="AB68" i="2"/>
  <c r="AB79" i="2"/>
  <c r="AD143" i="2"/>
  <c r="AC143" i="2" s="1"/>
  <c r="AB71" i="2"/>
  <c r="AD116" i="2"/>
  <c r="AC116" i="2" s="1"/>
  <c r="AD152" i="2"/>
  <c r="AC152" i="2" s="1"/>
  <c r="AD159" i="2"/>
  <c r="AC159" i="2" s="1"/>
  <c r="AB130" i="2"/>
  <c r="AD113" i="2"/>
  <c r="AB65" i="2"/>
  <c r="AB163" i="2"/>
  <c r="AB152" i="2"/>
  <c r="AD234" i="2"/>
  <c r="AC234" i="2" s="1"/>
  <c r="AB123" i="2"/>
  <c r="AD158" i="2"/>
  <c r="AC158" i="2" s="1"/>
  <c r="AD163" i="2"/>
  <c r="AC163" i="2" s="1"/>
  <c r="AB151" i="2"/>
  <c r="AB81" i="2"/>
  <c r="AD177" i="2"/>
  <c r="AC177" i="2" s="1"/>
  <c r="AD131" i="2"/>
  <c r="AC131" i="2" s="1"/>
  <c r="AD3" i="2"/>
  <c r="AC3" i="2" s="1"/>
  <c r="AD34" i="2"/>
  <c r="AD139" i="2"/>
  <c r="AC139" i="2" s="1"/>
  <c r="AD14" i="2"/>
  <c r="AC14" i="2" s="1"/>
  <c r="AD233" i="2"/>
  <c r="AC233" i="2" s="1"/>
  <c r="K67" i="2" s="1"/>
  <c r="K43" i="2" s="1"/>
  <c r="AB165" i="2"/>
  <c r="AD112" i="2"/>
  <c r="AC112" i="2" s="1"/>
  <c r="AB182" i="2"/>
  <c r="AB69" i="2"/>
  <c r="AB67" i="2"/>
  <c r="AD144" i="2"/>
  <c r="AC144" i="2" s="1"/>
  <c r="AB135" i="2"/>
  <c r="AD15" i="2"/>
  <c r="AC15" i="2" s="1"/>
  <c r="AB70" i="2"/>
  <c r="AD195" i="2"/>
  <c r="AC195" i="2" s="1"/>
  <c r="BE54" i="2" s="1"/>
  <c r="AB172" i="2"/>
  <c r="AB46" i="2"/>
  <c r="AB167" i="2"/>
  <c r="AB60" i="2"/>
  <c r="AB120" i="2"/>
  <c r="AD76" i="2"/>
  <c r="AC76" i="2" s="1"/>
  <c r="AD171" i="2"/>
  <c r="AD26" i="2"/>
  <c r="AC26" i="2" s="1"/>
  <c r="AD176" i="2"/>
  <c r="AC176" i="2" s="1"/>
  <c r="AD22" i="2"/>
  <c r="AC22" i="2" s="1"/>
  <c r="AB76" i="2"/>
  <c r="AB66" i="2"/>
  <c r="AD180" i="2"/>
  <c r="AD123" i="2"/>
  <c r="AC123" i="2" s="1"/>
  <c r="AB73" i="2"/>
  <c r="AD63" i="2"/>
  <c r="AD196" i="2"/>
  <c r="AC196" i="2" s="1"/>
  <c r="AB23" i="2"/>
  <c r="AZ12" i="2" s="1"/>
  <c r="AB124" i="2"/>
  <c r="AB49" i="2"/>
  <c r="AB194" i="2"/>
  <c r="AB20" i="2"/>
  <c r="AD165" i="2"/>
  <c r="AC165" i="2" s="1"/>
  <c r="AB198" i="2"/>
  <c r="BD55" i="2" s="1"/>
  <c r="AD128" i="2"/>
  <c r="AC128" i="2" s="1"/>
  <c r="AB63" i="2"/>
  <c r="AB7" i="2"/>
  <c r="AB61" i="2"/>
  <c r="AB82" i="2"/>
  <c r="AD69" i="2"/>
  <c r="AC69" i="2" s="1"/>
  <c r="AB26" i="2"/>
  <c r="AB136" i="2"/>
  <c r="AB126" i="2"/>
  <c r="AD24" i="2"/>
  <c r="AC24" i="2" s="1"/>
  <c r="AB139" i="2"/>
  <c r="AB144" i="2"/>
  <c r="AB190" i="2"/>
  <c r="AD92" i="2"/>
  <c r="AC92" i="2" s="1"/>
  <c r="AD91" i="2"/>
  <c r="AB121" i="2"/>
  <c r="AB113" i="2"/>
  <c r="AB13" i="2"/>
  <c r="AD161" i="2"/>
  <c r="AC161" i="2" s="1"/>
  <c r="AD151" i="2"/>
  <c r="AC151" i="2" s="1"/>
  <c r="AD186" i="2"/>
  <c r="AD35" i="2"/>
  <c r="AC35" i="2" s="1"/>
  <c r="AD50" i="2"/>
  <c r="AC50" i="2" s="1"/>
  <c r="AD84" i="2"/>
  <c r="AB27" i="2"/>
  <c r="AB53" i="2"/>
  <c r="AB22" i="2"/>
  <c r="AD27" i="2"/>
  <c r="AC27" i="2" s="1"/>
  <c r="AB37" i="2"/>
  <c r="AB116" i="2"/>
  <c r="AB142" i="2"/>
  <c r="AB34" i="2"/>
  <c r="AB175" i="2"/>
  <c r="AB72" i="2"/>
  <c r="AB51" i="2"/>
  <c r="AB238" i="2"/>
  <c r="AB3" i="2"/>
  <c r="AD132" i="2"/>
  <c r="AC132" i="2" s="1"/>
  <c r="AB33" i="2"/>
  <c r="AB185" i="2"/>
  <c r="AD51" i="2"/>
  <c r="AC51" i="2" s="1"/>
  <c r="AD121" i="2"/>
  <c r="AC121" i="2" s="1"/>
  <c r="AB146" i="2"/>
  <c r="AB56" i="2"/>
  <c r="AB191" i="2"/>
  <c r="AD169" i="2"/>
  <c r="AC169" i="2" s="1"/>
  <c r="AD235" i="2"/>
  <c r="AC235" i="2" s="1"/>
  <c r="AB24" i="2"/>
  <c r="AB145" i="2"/>
  <c r="AB143" i="2"/>
  <c r="AD55" i="2"/>
  <c r="AB77" i="2"/>
  <c r="AZ13" i="2" s="1"/>
  <c r="AB84" i="2"/>
  <c r="AD153" i="2"/>
  <c r="AC153" i="2" s="1"/>
  <c r="AB17" i="2"/>
  <c r="AB187" i="2"/>
  <c r="AB6" i="2"/>
  <c r="AD179" i="2"/>
  <c r="AB174" i="2"/>
  <c r="AB14" i="2"/>
  <c r="AD44" i="2"/>
  <c r="AC44" i="2" s="1"/>
  <c r="BA22" i="2" s="1"/>
  <c r="AB32" i="2"/>
  <c r="AD70" i="2"/>
  <c r="AC70" i="2" s="1"/>
  <c r="L59" i="2"/>
  <c r="L35" i="2" s="1"/>
  <c r="AD126" i="2"/>
  <c r="AC126" i="2" s="1"/>
  <c r="AD168" i="2"/>
  <c r="AC168" i="2" s="1"/>
  <c r="AD148" i="2"/>
  <c r="AC148" i="2" s="1"/>
  <c r="AD56" i="2"/>
  <c r="AC56" i="2" s="1"/>
  <c r="AD54" i="2"/>
  <c r="AD222" i="2"/>
  <c r="AC222" i="2" s="1"/>
  <c r="AD136" i="2"/>
  <c r="AC136" i="2" s="1"/>
  <c r="AB186" i="2"/>
  <c r="AB35" i="2"/>
  <c r="AB122" i="2"/>
  <c r="BD31" i="2" s="1"/>
  <c r="AB150" i="2"/>
  <c r="AD221" i="2"/>
  <c r="AC221" i="2" s="1"/>
  <c r="AB132" i="2"/>
  <c r="AB9" i="2"/>
  <c r="AD156" i="2"/>
  <c r="AD157" i="2"/>
  <c r="AD149" i="2"/>
  <c r="AC149" i="2" s="1"/>
  <c r="AD53" i="2"/>
  <c r="AC53" i="2" s="1"/>
  <c r="AD68" i="2"/>
  <c r="AD66" i="2"/>
  <c r="AC66" i="2" s="1"/>
  <c r="AD190" i="2"/>
  <c r="AC190" i="2" s="1"/>
  <c r="AD178" i="2"/>
  <c r="AB223" i="2"/>
  <c r="AD182" i="2"/>
  <c r="AD162" i="2"/>
  <c r="AC162" i="2" s="1"/>
  <c r="AD79" i="2"/>
  <c r="AC79" i="2" s="1"/>
  <c r="AB54" i="2"/>
  <c r="AZ54" i="2" l="1"/>
  <c r="BA13" i="2"/>
  <c r="AZ16" i="2"/>
  <c r="BC18" i="2"/>
  <c r="AZ53" i="2"/>
  <c r="AZ5" i="2"/>
  <c r="AZ11" i="2"/>
  <c r="AO11" i="2" s="1"/>
  <c r="BD18" i="2"/>
  <c r="K92" i="2"/>
  <c r="D92" i="2" s="1"/>
  <c r="E35" i="2"/>
  <c r="AZ51" i="2"/>
  <c r="AO41" i="2"/>
  <c r="AT42" i="2"/>
  <c r="AV42" i="2" s="1"/>
  <c r="BA51" i="2"/>
  <c r="AZ22" i="2"/>
  <c r="AO22" i="2" s="1"/>
  <c r="AZ24" i="2"/>
  <c r="AT15" i="2"/>
  <c r="AV15" i="2" s="1"/>
  <c r="AZ55" i="2"/>
  <c r="AZ6" i="2"/>
  <c r="C24" i="13"/>
  <c r="M29" i="6"/>
  <c r="K29" i="6"/>
  <c r="C7" i="6"/>
  <c r="C43" i="6"/>
  <c r="E21" i="6"/>
  <c r="AO13" i="2"/>
  <c r="AO42" i="2"/>
  <c r="G336" i="16"/>
  <c r="M336" i="16" s="1"/>
  <c r="G88" i="16"/>
  <c r="M88" i="16" s="1"/>
  <c r="G334" i="16"/>
  <c r="M334" i="16" s="1"/>
  <c r="G328" i="16"/>
  <c r="M328" i="16" s="1"/>
  <c r="G324" i="16"/>
  <c r="M324" i="16" s="1"/>
  <c r="G96" i="16"/>
  <c r="M96" i="16" s="1"/>
  <c r="G90" i="16"/>
  <c r="M90" i="16" s="1"/>
  <c r="G86" i="16"/>
  <c r="M86" i="16" s="1"/>
  <c r="G82" i="16"/>
  <c r="M82" i="16" s="1"/>
  <c r="G326" i="16"/>
  <c r="M326" i="16" s="1"/>
  <c r="G94" i="16"/>
  <c r="M94" i="16" s="1"/>
  <c r="G337" i="16"/>
  <c r="M337" i="16" s="1"/>
  <c r="G331" i="16"/>
  <c r="M331" i="16" s="1"/>
  <c r="G327" i="16"/>
  <c r="M327" i="16" s="1"/>
  <c r="G323" i="16"/>
  <c r="M323" i="16" s="1"/>
  <c r="G95" i="16"/>
  <c r="M95" i="16" s="1"/>
  <c r="G89" i="16"/>
  <c r="M89" i="16" s="1"/>
  <c r="G85" i="16"/>
  <c r="M85" i="16" s="1"/>
  <c r="G330" i="16"/>
  <c r="M330" i="16" s="1"/>
  <c r="G322" i="16"/>
  <c r="M322" i="16" s="1"/>
  <c r="G84" i="16"/>
  <c r="M84" i="16" s="1"/>
  <c r="G325" i="16"/>
  <c r="M325" i="16" s="1"/>
  <c r="G83" i="16"/>
  <c r="M83" i="16" s="1"/>
  <c r="G87" i="16"/>
  <c r="M87" i="16" s="1"/>
  <c r="G97" i="16"/>
  <c r="M97" i="16" s="1"/>
  <c r="G335" i="16"/>
  <c r="M335" i="16" s="1"/>
  <c r="G91" i="16"/>
  <c r="M91" i="16" s="1"/>
  <c r="G329" i="16"/>
  <c r="M329" i="16" s="1"/>
  <c r="C140" i="10"/>
  <c r="AZ31" i="2"/>
  <c r="AZ52" i="2"/>
  <c r="AO43" i="2"/>
  <c r="AZ17" i="2"/>
  <c r="AZ19" i="2" s="1"/>
  <c r="BA16" i="2"/>
  <c r="BE55" i="2"/>
  <c r="AR22" i="2"/>
  <c r="M8" i="2"/>
  <c r="O8" i="2" s="1"/>
  <c r="M9" i="2"/>
  <c r="O9" i="2" s="1"/>
  <c r="M10" i="2"/>
  <c r="O10" i="2" s="1"/>
  <c r="M13" i="2"/>
  <c r="AR7" i="2" s="1"/>
  <c r="M16" i="2"/>
  <c r="O16" i="2" s="1"/>
  <c r="B9" i="2"/>
  <c r="D9" i="2" s="1"/>
  <c r="B10" i="2"/>
  <c r="D10" i="2" s="1"/>
  <c r="AT34" i="2"/>
  <c r="AV34" i="2" s="1"/>
  <c r="AT45" i="2"/>
  <c r="AV45" i="2" s="1"/>
  <c r="AO45" i="2"/>
  <c r="AO34" i="2"/>
  <c r="AT41" i="2"/>
  <c r="AT43" i="2"/>
  <c r="AQ24" i="2"/>
  <c r="E60" i="2"/>
  <c r="E36" i="2" s="1"/>
  <c r="E64" i="2"/>
  <c r="E40" i="2" s="1"/>
  <c r="AC7" i="2"/>
  <c r="M92" i="2"/>
  <c r="K38" i="2"/>
  <c r="AC40" i="2"/>
  <c r="BA23" i="2" s="1"/>
  <c r="AT22" i="2" s="1"/>
  <c r="BA11" i="2"/>
  <c r="AC185" i="2"/>
  <c r="L95" i="2"/>
  <c r="K95" i="2" s="1"/>
  <c r="D95" i="2" s="1"/>
  <c r="BE53" i="2"/>
  <c r="BD30" i="2"/>
  <c r="AZ30" i="2"/>
  <c r="BE30" i="2"/>
  <c r="BD53" i="2"/>
  <c r="AO54" i="2" s="1"/>
  <c r="AO244" i="2"/>
  <c r="B12" i="13"/>
  <c r="C21" i="6"/>
  <c r="C27" i="13"/>
  <c r="W20" i="2"/>
  <c r="H29" i="6"/>
  <c r="I158" i="10"/>
  <c r="AO241" i="2"/>
  <c r="AK504" i="2" s="1"/>
  <c r="C25" i="6"/>
  <c r="C29" i="13"/>
  <c r="C124" i="10"/>
  <c r="F163" i="10"/>
  <c r="W14" i="2"/>
  <c r="C29" i="6"/>
  <c r="B85" i="10"/>
  <c r="C87" i="10"/>
  <c r="R4" i="2"/>
  <c r="C72" i="10"/>
  <c r="C15" i="6"/>
  <c r="W4" i="2"/>
  <c r="AT33" i="2"/>
  <c r="M158" i="10"/>
  <c r="J68" i="2"/>
  <c r="J44" i="2" s="1"/>
  <c r="C43" i="2"/>
  <c r="G33" i="2"/>
  <c r="E11" i="4" s="1"/>
  <c r="AR11" i="2"/>
  <c r="G40" i="2"/>
  <c r="L38" i="2"/>
  <c r="I23" i="6"/>
  <c r="I6" i="6"/>
  <c r="W22" i="2"/>
  <c r="D29" i="6"/>
  <c r="M6" i="6"/>
  <c r="F87" i="10"/>
  <c r="C122" i="10"/>
  <c r="C31" i="6"/>
  <c r="AO243" i="2"/>
  <c r="AK295" i="2" s="1"/>
  <c r="B2" i="10"/>
  <c r="AO242" i="2"/>
  <c r="AK250" i="2" s="1"/>
  <c r="B15" i="13"/>
  <c r="C6" i="6"/>
  <c r="I9" i="6"/>
  <c r="B102" i="10"/>
  <c r="C17" i="6"/>
  <c r="W6" i="2"/>
  <c r="C28" i="13"/>
  <c r="C13" i="6"/>
  <c r="L172" i="10"/>
  <c r="W23" i="2"/>
  <c r="C23" i="6"/>
  <c r="J29" i="6"/>
  <c r="R7" i="2"/>
  <c r="C153" i="10"/>
  <c r="C57" i="6"/>
  <c r="W19" i="2"/>
  <c r="G72" i="10"/>
  <c r="N7" i="6"/>
  <c r="C23" i="13"/>
  <c r="I11" i="6"/>
  <c r="C30" i="13"/>
  <c r="C52" i="6"/>
  <c r="K72" i="10"/>
  <c r="B3" i="13"/>
  <c r="F9" i="2"/>
  <c r="G9" i="2" s="1"/>
  <c r="AR41" i="2" s="1"/>
  <c r="F8" i="2"/>
  <c r="G8" i="2" s="1"/>
  <c r="AR30" i="2" s="1"/>
  <c r="F13" i="2"/>
  <c r="G13" i="2" s="1"/>
  <c r="F10" i="2"/>
  <c r="G10" i="2" s="1"/>
  <c r="AR51" i="2" s="1"/>
  <c r="N40" i="2"/>
  <c r="AC184" i="2"/>
  <c r="AQ31" i="2"/>
  <c r="C22" i="13"/>
  <c r="AB14" i="13"/>
  <c r="C25" i="13"/>
  <c r="R3" i="2"/>
  <c r="C158" i="10"/>
  <c r="C69" i="6"/>
  <c r="B172" i="10" s="1"/>
  <c r="AA199" i="2"/>
  <c r="R51" i="6" s="1"/>
  <c r="C59" i="6"/>
  <c r="N29" i="6"/>
  <c r="AQ5" i="2"/>
  <c r="AQ22" i="2"/>
  <c r="N36" i="2"/>
  <c r="AQ32" i="2"/>
  <c r="AQ30" i="2"/>
  <c r="AQ11" i="2"/>
  <c r="AC39" i="2"/>
  <c r="AT24" i="2" s="1"/>
  <c r="AC58" i="2"/>
  <c r="BA54" i="2" s="1"/>
  <c r="B58" i="2"/>
  <c r="B34" i="2" s="1"/>
  <c r="K94" i="2"/>
  <c r="D94" i="2" s="1"/>
  <c r="N58" i="2"/>
  <c r="N34" i="2" s="1"/>
  <c r="L93" i="2"/>
  <c r="K93" i="2" s="1"/>
  <c r="D93" i="2" s="1"/>
  <c r="B60" i="2"/>
  <c r="C60" i="2" s="1"/>
  <c r="C36" i="2" s="1"/>
  <c r="L67" i="2"/>
  <c r="L43" i="2" s="1"/>
  <c r="AC12" i="2"/>
  <c r="AT7" i="2" s="1"/>
  <c r="D41" i="2"/>
  <c r="N43" i="2"/>
  <c r="I49" i="2"/>
  <c r="F11" i="4" s="1"/>
  <c r="G35" i="2"/>
  <c r="F33" i="2"/>
  <c r="G34" i="2"/>
  <c r="D49" i="2"/>
  <c r="K35" i="2"/>
  <c r="G41" i="2"/>
  <c r="F82" i="2"/>
  <c r="G82" i="2" s="1"/>
  <c r="F15" i="2"/>
  <c r="G15" i="2" s="1"/>
  <c r="G96" i="2"/>
  <c r="H96" i="2" s="1"/>
  <c r="F121" i="2"/>
  <c r="G121" i="2" s="1"/>
  <c r="F80" i="2"/>
  <c r="G80" i="2" s="1"/>
  <c r="G94" i="2"/>
  <c r="H94" i="2" s="1"/>
  <c r="R9" i="6"/>
  <c r="AY32" i="2"/>
  <c r="AR32" i="2" s="1"/>
  <c r="G93" i="2"/>
  <c r="H93" i="2" s="1"/>
  <c r="F81" i="2"/>
  <c r="G81" i="2" s="1"/>
  <c r="B8" i="2"/>
  <c r="D8" i="2" s="1"/>
  <c r="G101" i="2"/>
  <c r="H101" i="2" s="1"/>
  <c r="F12" i="2"/>
  <c r="G12" i="2" s="1"/>
  <c r="F14" i="2"/>
  <c r="G14" i="2" s="1"/>
  <c r="AR53" i="2" s="1"/>
  <c r="I25" i="2"/>
  <c r="AY43" i="2"/>
  <c r="AR43" i="2" s="1"/>
  <c r="K20" i="2"/>
  <c r="AR14" i="2" s="1"/>
  <c r="G99" i="2"/>
  <c r="H99" i="2" s="1"/>
  <c r="B13" i="2"/>
  <c r="D13" i="2" s="1"/>
  <c r="F120" i="2"/>
  <c r="G120" i="2" s="1"/>
  <c r="F85" i="2"/>
  <c r="G85" i="2" s="1"/>
  <c r="G105" i="2"/>
  <c r="H105" i="2" s="1"/>
  <c r="F83" i="2"/>
  <c r="G83" i="2" s="1"/>
  <c r="G100" i="2"/>
  <c r="H100" i="2" s="1"/>
  <c r="G104" i="2"/>
  <c r="B16" i="2"/>
  <c r="D16" i="2" s="1"/>
  <c r="N25" i="2"/>
  <c r="O25" i="2" s="1"/>
  <c r="C21" i="2"/>
  <c r="D21" i="2" s="1"/>
  <c r="G103" i="2"/>
  <c r="F79" i="2"/>
  <c r="G79" i="2" s="1"/>
  <c r="F122" i="2"/>
  <c r="G122" i="2" s="1"/>
  <c r="F16" i="2"/>
  <c r="G16" i="2" s="1"/>
  <c r="I22" i="2"/>
  <c r="C22" i="2"/>
  <c r="D22" i="2" s="1"/>
  <c r="G106" i="2"/>
  <c r="H106" i="2" s="1"/>
  <c r="G95" i="2"/>
  <c r="H95" i="2" s="1"/>
  <c r="G97" i="2"/>
  <c r="H97" i="2" s="1"/>
  <c r="N26" i="2"/>
  <c r="F84" i="2"/>
  <c r="G84" i="2" s="1"/>
  <c r="F11" i="2"/>
  <c r="G11" i="2" s="1"/>
  <c r="G107" i="2"/>
  <c r="H107" i="2" s="1"/>
  <c r="G92" i="2"/>
  <c r="H92" i="2" s="1"/>
  <c r="K22" i="2"/>
  <c r="N22" i="2"/>
  <c r="O22" i="2" s="1"/>
  <c r="C20" i="2"/>
  <c r="D20" i="2" s="1"/>
  <c r="K21" i="2"/>
  <c r="K25" i="2"/>
  <c r="G102" i="2"/>
  <c r="H102" i="2" s="1"/>
  <c r="N20" i="2"/>
  <c r="O20" i="2" s="1"/>
  <c r="I20" i="2"/>
  <c r="AR26" i="2" s="1"/>
  <c r="G98" i="2"/>
  <c r="H98" i="2" s="1"/>
  <c r="F123" i="2"/>
  <c r="G123" i="2" s="1"/>
  <c r="C25" i="2"/>
  <c r="D25" i="2" s="1"/>
  <c r="G108" i="2"/>
  <c r="H108" i="2" s="1"/>
  <c r="I21" i="2"/>
  <c r="F86" i="2"/>
  <c r="G86" i="2" s="1"/>
  <c r="N21" i="2"/>
  <c r="O21" i="2" s="1"/>
  <c r="J37" i="2"/>
  <c r="J35" i="2"/>
  <c r="J41" i="2"/>
  <c r="J85" i="2"/>
  <c r="K107" i="2"/>
  <c r="D107" i="2" s="1"/>
  <c r="J36" i="2"/>
  <c r="J42" i="2"/>
  <c r="M84" i="2"/>
  <c r="J81" i="2"/>
  <c r="M123" i="2"/>
  <c r="J120" i="2"/>
  <c r="J80" i="2"/>
  <c r="M85" i="2"/>
  <c r="J122" i="2"/>
  <c r="J84" i="2"/>
  <c r="M82" i="2"/>
  <c r="J38" i="2"/>
  <c r="J43" i="2"/>
  <c r="J121" i="2"/>
  <c r="M83" i="2"/>
  <c r="J82" i="2"/>
  <c r="M122" i="2"/>
  <c r="M86" i="2"/>
  <c r="D48" i="2"/>
  <c r="J40" i="2"/>
  <c r="J83" i="2"/>
  <c r="J34" i="2"/>
  <c r="J79" i="2"/>
  <c r="J123" i="2"/>
  <c r="M79" i="2"/>
  <c r="M81" i="2"/>
  <c r="J86" i="2"/>
  <c r="M80" i="2"/>
  <c r="N37" i="2"/>
  <c r="N35" i="2"/>
  <c r="E33" i="2"/>
  <c r="K98" i="2"/>
  <c r="D98" i="2" s="1"/>
  <c r="G36" i="2"/>
  <c r="D41" i="4" s="1"/>
  <c r="F48" i="2"/>
  <c r="D34" i="2"/>
  <c r="G48" i="2"/>
  <c r="N41" i="2"/>
  <c r="L45" i="2"/>
  <c r="C54" i="6"/>
  <c r="B11" i="13"/>
  <c r="W15" i="2"/>
  <c r="I13" i="6"/>
  <c r="O69" i="6"/>
  <c r="C40" i="6"/>
  <c r="C34" i="6"/>
  <c r="C31" i="13"/>
  <c r="N6" i="6"/>
  <c r="N42" i="2"/>
  <c r="K108" i="2"/>
  <c r="D108" i="2" s="1"/>
  <c r="E34" i="2"/>
  <c r="G49" i="2"/>
  <c r="H49" i="2"/>
  <c r="C44" i="2"/>
  <c r="L34" i="2"/>
  <c r="D36" i="2"/>
  <c r="M106" i="2"/>
  <c r="K106" i="2"/>
  <c r="D106" i="2" s="1"/>
  <c r="AC84" i="2"/>
  <c r="BA24" i="2" s="1"/>
  <c r="H72" i="2"/>
  <c r="K60" i="2"/>
  <c r="AC63" i="2"/>
  <c r="BA55" i="2" s="1"/>
  <c r="K64" i="2"/>
  <c r="AC55" i="2"/>
  <c r="B59" i="2"/>
  <c r="AC91" i="2"/>
  <c r="BA6" i="2" s="1"/>
  <c r="J63" i="2"/>
  <c r="AC171" i="2"/>
  <c r="AT52" i="2" s="1"/>
  <c r="C73" i="2"/>
  <c r="C72" i="2"/>
  <c r="AC34" i="2"/>
  <c r="AT13" i="2" s="1"/>
  <c r="L99" i="2"/>
  <c r="AK409" i="2"/>
  <c r="D57" i="2"/>
  <c r="D33" i="2" s="1"/>
  <c r="AC179" i="2"/>
  <c r="L104" i="2"/>
  <c r="AC113" i="2"/>
  <c r="BA5" i="2" s="1"/>
  <c r="B57" i="2"/>
  <c r="K100" i="2"/>
  <c r="D100" i="2" s="1"/>
  <c r="L101" i="2"/>
  <c r="M100" i="2"/>
  <c r="AC127" i="2"/>
  <c r="N57" i="2"/>
  <c r="N33" i="2" s="1"/>
  <c r="L102" i="2"/>
  <c r="AC186" i="2"/>
  <c r="AC180" i="2"/>
  <c r="L105" i="2"/>
  <c r="D64" i="2"/>
  <c r="D40" i="2" s="1"/>
  <c r="D59" i="2"/>
  <c r="D35" i="2" s="1"/>
  <c r="AC23" i="2"/>
  <c r="BA12" i="2" s="1"/>
  <c r="AK317" i="2"/>
  <c r="AK402" i="2"/>
  <c r="AK434" i="2"/>
  <c r="K61" i="2"/>
  <c r="AC68" i="2"/>
  <c r="BA56" i="2" s="1"/>
  <c r="AC156" i="2"/>
  <c r="D67" i="2"/>
  <c r="D43" i="2" s="1"/>
  <c r="L66" i="2"/>
  <c r="L42" i="2" s="1"/>
  <c r="K42" i="2"/>
  <c r="L103" i="2"/>
  <c r="AC178" i="2"/>
  <c r="K65" i="2"/>
  <c r="AC54" i="2"/>
  <c r="L96" i="2"/>
  <c r="AC182" i="2"/>
  <c r="J57" i="2"/>
  <c r="AC157" i="2"/>
  <c r="AK441" i="2"/>
  <c r="BA53" i="2" l="1"/>
  <c r="BA18" i="2"/>
  <c r="AO5" i="2"/>
  <c r="AK292" i="2"/>
  <c r="AK467" i="2"/>
  <c r="AZ18" i="2"/>
  <c r="AO16" i="2" s="1"/>
  <c r="AK408" i="2"/>
  <c r="AT54" i="2"/>
  <c r="AV54" i="2" s="1"/>
  <c r="T41" i="6"/>
  <c r="I19" i="6"/>
  <c r="I44" i="10"/>
  <c r="C7" i="10"/>
  <c r="D44" i="10"/>
  <c r="K8" i="10"/>
  <c r="G8" i="10"/>
  <c r="S51" i="6"/>
  <c r="Q51" i="6" s="1"/>
  <c r="P51" i="6" s="1"/>
  <c r="AK433" i="2"/>
  <c r="AR25" i="2"/>
  <c r="AT11" i="2"/>
  <c r="BA27" i="2"/>
  <c r="AT26" i="2" s="1"/>
  <c r="AV26" i="2" s="1"/>
  <c r="G170" i="16"/>
  <c r="M170" i="16" s="1"/>
  <c r="G166" i="16"/>
  <c r="M166" i="16" s="1"/>
  <c r="G162" i="16"/>
  <c r="M162" i="16" s="1"/>
  <c r="G164" i="16"/>
  <c r="M164" i="16" s="1"/>
  <c r="G169" i="16"/>
  <c r="M169" i="16" s="1"/>
  <c r="G165" i="16"/>
  <c r="M165" i="16" s="1"/>
  <c r="G168" i="16"/>
  <c r="M168" i="16" s="1"/>
  <c r="G167" i="16"/>
  <c r="M167" i="16" s="1"/>
  <c r="G163" i="16"/>
  <c r="M163" i="16" s="1"/>
  <c r="G171" i="16"/>
  <c r="M171" i="16" s="1"/>
  <c r="AK301" i="2"/>
  <c r="AK359" i="2"/>
  <c r="W3" i="2"/>
  <c r="D242" i="16" s="1"/>
  <c r="G255" i="16"/>
  <c r="M255" i="16" s="1"/>
  <c r="G175" i="16"/>
  <c r="M175" i="16" s="1"/>
  <c r="G15" i="16"/>
  <c r="M15" i="16" s="1"/>
  <c r="G254" i="16"/>
  <c r="M254" i="16" s="1"/>
  <c r="G174" i="16"/>
  <c r="M174" i="16" s="1"/>
  <c r="G14" i="16"/>
  <c r="M14" i="16" s="1"/>
  <c r="G176" i="16"/>
  <c r="M176" i="16" s="1"/>
  <c r="G17" i="16"/>
  <c r="M17" i="16" s="1"/>
  <c r="G257" i="16"/>
  <c r="M257" i="16" s="1"/>
  <c r="G256" i="16"/>
  <c r="M256" i="16" s="1"/>
  <c r="G16" i="16"/>
  <c r="M16" i="16" s="1"/>
  <c r="G177" i="16"/>
  <c r="M177" i="16" s="1"/>
  <c r="G186" i="16"/>
  <c r="M186" i="16" s="1"/>
  <c r="G193" i="16"/>
  <c r="M193" i="16" s="1"/>
  <c r="G188" i="16"/>
  <c r="M188" i="16" s="1"/>
  <c r="G184" i="16"/>
  <c r="M184" i="16" s="1"/>
  <c r="G180" i="16"/>
  <c r="M180" i="16" s="1"/>
  <c r="G182" i="16"/>
  <c r="M182" i="16" s="1"/>
  <c r="G192" i="16"/>
  <c r="M192" i="16" s="1"/>
  <c r="G187" i="16"/>
  <c r="M187" i="16" s="1"/>
  <c r="G183" i="16"/>
  <c r="M183" i="16" s="1"/>
  <c r="G179" i="16"/>
  <c r="M179" i="16" s="1"/>
  <c r="G191" i="16"/>
  <c r="M191" i="16" s="1"/>
  <c r="G178" i="16"/>
  <c r="M178" i="16" s="1"/>
  <c r="G190" i="16"/>
  <c r="M190" i="16" s="1"/>
  <c r="G185" i="16"/>
  <c r="M185" i="16" s="1"/>
  <c r="G181" i="16"/>
  <c r="M181" i="16" s="1"/>
  <c r="G391" i="16"/>
  <c r="M391" i="16" s="1"/>
  <c r="G399" i="16"/>
  <c r="M399" i="16" s="1"/>
  <c r="G393" i="16"/>
  <c r="M393" i="16" s="1"/>
  <c r="G389" i="16"/>
  <c r="M389" i="16" s="1"/>
  <c r="G321" i="16"/>
  <c r="M321" i="16" s="1"/>
  <c r="G315" i="16"/>
  <c r="M315" i="16" s="1"/>
  <c r="G311" i="16"/>
  <c r="M311" i="16" s="1"/>
  <c r="G307" i="16"/>
  <c r="M307" i="16" s="1"/>
  <c r="G395" i="16"/>
  <c r="M395" i="16" s="1"/>
  <c r="G319" i="16"/>
  <c r="M319" i="16" s="1"/>
  <c r="G309" i="16"/>
  <c r="M309" i="16" s="1"/>
  <c r="G398" i="16"/>
  <c r="M398" i="16" s="1"/>
  <c r="G392" i="16"/>
  <c r="M392" i="16" s="1"/>
  <c r="G388" i="16"/>
  <c r="M388" i="16" s="1"/>
  <c r="G320" i="16"/>
  <c r="M320" i="16" s="1"/>
  <c r="G314" i="16"/>
  <c r="M314" i="16" s="1"/>
  <c r="G310" i="16"/>
  <c r="M310" i="16" s="1"/>
  <c r="G306" i="16"/>
  <c r="M306" i="16" s="1"/>
  <c r="G401" i="16"/>
  <c r="M401" i="16" s="1"/>
  <c r="G387" i="16"/>
  <c r="M387" i="16" s="1"/>
  <c r="G313" i="16"/>
  <c r="M313" i="16" s="1"/>
  <c r="G390" i="16"/>
  <c r="M390" i="16" s="1"/>
  <c r="G308" i="16"/>
  <c r="M308" i="16" s="1"/>
  <c r="G386" i="16"/>
  <c r="M386" i="16" s="1"/>
  <c r="G400" i="16"/>
  <c r="M400" i="16" s="1"/>
  <c r="G318" i="16"/>
  <c r="M318" i="16" s="1"/>
  <c r="G394" i="16"/>
  <c r="M394" i="16" s="1"/>
  <c r="G312" i="16"/>
  <c r="M312" i="16" s="1"/>
  <c r="G233" i="16"/>
  <c r="M233" i="16" s="1"/>
  <c r="G229" i="16"/>
  <c r="M229" i="16" s="1"/>
  <c r="G231" i="16"/>
  <c r="M231" i="16" s="1"/>
  <c r="G227" i="16"/>
  <c r="M227" i="16" s="1"/>
  <c r="G232" i="16"/>
  <c r="M232" i="16" s="1"/>
  <c r="G228" i="16"/>
  <c r="M228" i="16" s="1"/>
  <c r="G235" i="16"/>
  <c r="M235" i="16" s="1"/>
  <c r="G234" i="16"/>
  <c r="M234" i="16" s="1"/>
  <c r="G230" i="16"/>
  <c r="M230" i="16" s="1"/>
  <c r="G226" i="16"/>
  <c r="M226" i="16" s="1"/>
  <c r="AK278" i="2"/>
  <c r="AK427" i="2"/>
  <c r="AK437" i="2"/>
  <c r="B151" i="10"/>
  <c r="G364" i="16"/>
  <c r="M364" i="16" s="1"/>
  <c r="G252" i="16"/>
  <c r="M252" i="16" s="1"/>
  <c r="G156" i="16"/>
  <c r="M156" i="16" s="1"/>
  <c r="G44" i="16"/>
  <c r="M44" i="16" s="1"/>
  <c r="G332" i="16"/>
  <c r="M332" i="16" s="1"/>
  <c r="G236" i="16"/>
  <c r="M236" i="16" s="1"/>
  <c r="G124" i="16"/>
  <c r="M124" i="16" s="1"/>
  <c r="G12" i="16"/>
  <c r="M12" i="16" s="1"/>
  <c r="G284" i="16"/>
  <c r="M284" i="16" s="1"/>
  <c r="G76" i="16"/>
  <c r="M76" i="16" s="1"/>
  <c r="G204" i="16"/>
  <c r="M204" i="16" s="1"/>
  <c r="G92" i="16"/>
  <c r="M92" i="16" s="1"/>
  <c r="G396" i="16"/>
  <c r="M396" i="16" s="1"/>
  <c r="G172" i="16"/>
  <c r="M172" i="16" s="1"/>
  <c r="G316" i="16"/>
  <c r="M316" i="16" s="1"/>
  <c r="G158" i="16"/>
  <c r="M158" i="16" s="1"/>
  <c r="G152" i="16"/>
  <c r="M152" i="16" s="1"/>
  <c r="G148" i="16"/>
  <c r="M148" i="16" s="1"/>
  <c r="G80" i="16"/>
  <c r="M80" i="16" s="1"/>
  <c r="G74" i="16"/>
  <c r="M74" i="16" s="1"/>
  <c r="G70" i="16"/>
  <c r="M70" i="16" s="1"/>
  <c r="G66" i="16"/>
  <c r="M66" i="16" s="1"/>
  <c r="G161" i="16"/>
  <c r="M161" i="16" s="1"/>
  <c r="G155" i="16"/>
  <c r="M155" i="16" s="1"/>
  <c r="G151" i="16"/>
  <c r="M151" i="16" s="1"/>
  <c r="G147" i="16"/>
  <c r="M147" i="16" s="1"/>
  <c r="G79" i="16"/>
  <c r="M79" i="16" s="1"/>
  <c r="G73" i="16"/>
  <c r="M73" i="16" s="1"/>
  <c r="G69" i="16"/>
  <c r="M69" i="16" s="1"/>
  <c r="G153" i="16"/>
  <c r="M153" i="16" s="1"/>
  <c r="G81" i="16"/>
  <c r="M81" i="16" s="1"/>
  <c r="G71" i="16"/>
  <c r="M71" i="16" s="1"/>
  <c r="G150" i="16"/>
  <c r="M150" i="16" s="1"/>
  <c r="G68" i="16"/>
  <c r="M68" i="16" s="1"/>
  <c r="G160" i="16"/>
  <c r="M160" i="16" s="1"/>
  <c r="G78" i="16"/>
  <c r="M78" i="16" s="1"/>
  <c r="G146" i="16"/>
  <c r="M146" i="16" s="1"/>
  <c r="G159" i="16"/>
  <c r="M159" i="16" s="1"/>
  <c r="G149" i="16"/>
  <c r="M149" i="16" s="1"/>
  <c r="G75" i="16"/>
  <c r="M75" i="16" s="1"/>
  <c r="G67" i="16"/>
  <c r="M67" i="16" s="1"/>
  <c r="G154" i="16"/>
  <c r="M154" i="16" s="1"/>
  <c r="G72" i="16"/>
  <c r="M72" i="16" s="1"/>
  <c r="G445" i="16"/>
  <c r="M445" i="16" s="1"/>
  <c r="G381" i="16"/>
  <c r="M381" i="16" s="1"/>
  <c r="G317" i="16"/>
  <c r="M317" i="16" s="1"/>
  <c r="G237" i="16"/>
  <c r="M237" i="16" s="1"/>
  <c r="G173" i="16"/>
  <c r="M173" i="16" s="1"/>
  <c r="G109" i="16"/>
  <c r="M109" i="16" s="1"/>
  <c r="G45" i="16"/>
  <c r="M45" i="16" s="1"/>
  <c r="G429" i="16"/>
  <c r="M429" i="16" s="1"/>
  <c r="G365" i="16"/>
  <c r="M365" i="16" s="1"/>
  <c r="G301" i="16"/>
  <c r="M301" i="16" s="1"/>
  <c r="G221" i="16"/>
  <c r="M221" i="16" s="1"/>
  <c r="G157" i="16"/>
  <c r="M157" i="16" s="1"/>
  <c r="G93" i="16"/>
  <c r="M93" i="16" s="1"/>
  <c r="G29" i="16"/>
  <c r="M29" i="16" s="1"/>
  <c r="G461" i="16"/>
  <c r="M461" i="16" s="1"/>
  <c r="G333" i="16"/>
  <c r="M333" i="16" s="1"/>
  <c r="G189" i="16"/>
  <c r="M189" i="16" s="1"/>
  <c r="G61" i="16"/>
  <c r="M61" i="16" s="1"/>
  <c r="G413" i="16"/>
  <c r="M413" i="16" s="1"/>
  <c r="G285" i="16"/>
  <c r="M285" i="16" s="1"/>
  <c r="G141" i="16"/>
  <c r="M141" i="16" s="1"/>
  <c r="G477" i="16"/>
  <c r="M477" i="16" s="1"/>
  <c r="G77" i="16"/>
  <c r="M77" i="16" s="1"/>
  <c r="G13" i="16"/>
  <c r="M13" i="16" s="1"/>
  <c r="G205" i="16"/>
  <c r="M205" i="16" s="1"/>
  <c r="G397" i="16"/>
  <c r="M397" i="16" s="1"/>
  <c r="G253" i="16"/>
  <c r="M253" i="16" s="1"/>
  <c r="G125" i="16"/>
  <c r="M125" i="16" s="1"/>
  <c r="G349" i="16"/>
  <c r="M349" i="16" s="1"/>
  <c r="G473" i="16"/>
  <c r="M473" i="16" s="1"/>
  <c r="G481" i="16"/>
  <c r="M481" i="16" s="1"/>
  <c r="G476" i="16"/>
  <c r="M476" i="16" s="1"/>
  <c r="G472" i="16"/>
  <c r="M472" i="16" s="1"/>
  <c r="G468" i="16"/>
  <c r="M468" i="16" s="1"/>
  <c r="G464" i="16"/>
  <c r="M464" i="16" s="1"/>
  <c r="G459" i="16"/>
  <c r="M459" i="16" s="1"/>
  <c r="G455" i="16"/>
  <c r="M455" i="16" s="1"/>
  <c r="G451" i="16"/>
  <c r="M451" i="16" s="1"/>
  <c r="G447" i="16"/>
  <c r="M447" i="16" s="1"/>
  <c r="G442" i="16"/>
  <c r="M442" i="16" s="1"/>
  <c r="G438" i="16"/>
  <c r="M438" i="16" s="1"/>
  <c r="G434" i="16"/>
  <c r="M434" i="16" s="1"/>
  <c r="G430" i="16"/>
  <c r="M430" i="16" s="1"/>
  <c r="G480" i="16"/>
  <c r="M480" i="16" s="1"/>
  <c r="G475" i="16"/>
  <c r="M475" i="16" s="1"/>
  <c r="G471" i="16"/>
  <c r="M471" i="16" s="1"/>
  <c r="G467" i="16"/>
  <c r="M467" i="16" s="1"/>
  <c r="G463" i="16"/>
  <c r="M463" i="16" s="1"/>
  <c r="G458" i="16"/>
  <c r="M458" i="16" s="1"/>
  <c r="G454" i="16"/>
  <c r="M454" i="16" s="1"/>
  <c r="G450" i="16"/>
  <c r="M450" i="16" s="1"/>
  <c r="G446" i="16"/>
  <c r="M446" i="16" s="1"/>
  <c r="G441" i="16"/>
  <c r="M441" i="16" s="1"/>
  <c r="G437" i="16"/>
  <c r="M437" i="16" s="1"/>
  <c r="G433" i="16"/>
  <c r="M433" i="16" s="1"/>
  <c r="G428" i="16"/>
  <c r="M428" i="16" s="1"/>
  <c r="G424" i="16"/>
  <c r="M424" i="16" s="1"/>
  <c r="G420" i="16"/>
  <c r="M420" i="16" s="1"/>
  <c r="G416" i="16"/>
  <c r="M416" i="16" s="1"/>
  <c r="G411" i="16"/>
  <c r="M411" i="16" s="1"/>
  <c r="G407" i="16"/>
  <c r="M407" i="16" s="1"/>
  <c r="G403" i="16"/>
  <c r="M403" i="16" s="1"/>
  <c r="G478" i="16"/>
  <c r="M478" i="16" s="1"/>
  <c r="G469" i="16"/>
  <c r="M469" i="16" s="1"/>
  <c r="G465" i="16"/>
  <c r="M465" i="16" s="1"/>
  <c r="G460" i="16"/>
  <c r="M460" i="16" s="1"/>
  <c r="G456" i="16"/>
  <c r="M456" i="16" s="1"/>
  <c r="G452" i="16"/>
  <c r="M452" i="16" s="1"/>
  <c r="G443" i="16"/>
  <c r="M443" i="16" s="1"/>
  <c r="G439" i="16"/>
  <c r="M439" i="16" s="1"/>
  <c r="G431" i="16"/>
  <c r="M431" i="16" s="1"/>
  <c r="G422" i="16"/>
  <c r="M422" i="16" s="1"/>
  <c r="G414" i="16"/>
  <c r="M414" i="16" s="1"/>
  <c r="G405" i="16"/>
  <c r="M405" i="16" s="1"/>
  <c r="G479" i="16"/>
  <c r="M479" i="16" s="1"/>
  <c r="G474" i="16"/>
  <c r="M474" i="16" s="1"/>
  <c r="G470" i="16"/>
  <c r="M470" i="16" s="1"/>
  <c r="G466" i="16"/>
  <c r="M466" i="16" s="1"/>
  <c r="G462" i="16"/>
  <c r="M462" i="16" s="1"/>
  <c r="G457" i="16"/>
  <c r="M457" i="16" s="1"/>
  <c r="G453" i="16"/>
  <c r="M453" i="16" s="1"/>
  <c r="G449" i="16"/>
  <c r="M449" i="16" s="1"/>
  <c r="G444" i="16"/>
  <c r="M444" i="16" s="1"/>
  <c r="G440" i="16"/>
  <c r="M440" i="16" s="1"/>
  <c r="G436" i="16"/>
  <c r="M436" i="16" s="1"/>
  <c r="G432" i="16"/>
  <c r="M432" i="16" s="1"/>
  <c r="G427" i="16"/>
  <c r="M427" i="16" s="1"/>
  <c r="G423" i="16"/>
  <c r="M423" i="16" s="1"/>
  <c r="G419" i="16"/>
  <c r="M419" i="16" s="1"/>
  <c r="G415" i="16"/>
  <c r="M415" i="16" s="1"/>
  <c r="G410" i="16"/>
  <c r="M410" i="16" s="1"/>
  <c r="G406" i="16"/>
  <c r="M406" i="16" s="1"/>
  <c r="G402" i="16"/>
  <c r="M402" i="16" s="1"/>
  <c r="G448" i="16"/>
  <c r="M448" i="16" s="1"/>
  <c r="G435" i="16"/>
  <c r="M435" i="16" s="1"/>
  <c r="G426" i="16"/>
  <c r="M426" i="16" s="1"/>
  <c r="G418" i="16"/>
  <c r="M418" i="16" s="1"/>
  <c r="G409" i="16"/>
  <c r="M409" i="16" s="1"/>
  <c r="G425" i="16"/>
  <c r="M425" i="16" s="1"/>
  <c r="G408" i="16"/>
  <c r="M408" i="16" s="1"/>
  <c r="G421" i="16"/>
  <c r="M421" i="16" s="1"/>
  <c r="G404" i="16"/>
  <c r="M404" i="16" s="1"/>
  <c r="G417" i="16"/>
  <c r="M417" i="16" s="1"/>
  <c r="G412" i="16"/>
  <c r="M412" i="16" s="1"/>
  <c r="G118" i="16"/>
  <c r="M118" i="16" s="1"/>
  <c r="G358" i="16"/>
  <c r="M358" i="16" s="1"/>
  <c r="G38" i="16"/>
  <c r="M38" i="16" s="1"/>
  <c r="G198" i="16"/>
  <c r="M198" i="16" s="1"/>
  <c r="G278" i="16"/>
  <c r="M278" i="16" s="1"/>
  <c r="AK431" i="2"/>
  <c r="AK416" i="2"/>
  <c r="AK274" i="2"/>
  <c r="AK463" i="2"/>
  <c r="AK352" i="2"/>
  <c r="AK449" i="2"/>
  <c r="AK391" i="2"/>
  <c r="AK296" i="2"/>
  <c r="B16" i="13"/>
  <c r="AK395" i="2"/>
  <c r="AK312" i="2"/>
  <c r="AK442" i="2"/>
  <c r="AK251" i="2"/>
  <c r="AK334" i="2"/>
  <c r="H104" i="10"/>
  <c r="AK287" i="2"/>
  <c r="AK455" i="2"/>
  <c r="AK355" i="2"/>
  <c r="AK349" i="2"/>
  <c r="AK282" i="2"/>
  <c r="AK337" i="2"/>
  <c r="AG2" i="2"/>
  <c r="C431" i="16"/>
  <c r="C427" i="16"/>
  <c r="C423" i="16"/>
  <c r="C419" i="16"/>
  <c r="C351" i="16"/>
  <c r="C347" i="16"/>
  <c r="C343" i="16"/>
  <c r="C339" i="16"/>
  <c r="C271" i="16"/>
  <c r="C267" i="16"/>
  <c r="C263" i="16"/>
  <c r="C259" i="16"/>
  <c r="C191" i="16"/>
  <c r="C187" i="16"/>
  <c r="C183" i="16"/>
  <c r="C179" i="16"/>
  <c r="C111" i="16"/>
  <c r="C107" i="16"/>
  <c r="C103" i="16"/>
  <c r="C99" i="16"/>
  <c r="C31" i="16"/>
  <c r="C27" i="16"/>
  <c r="C23" i="16"/>
  <c r="C19" i="16"/>
  <c r="C430" i="16"/>
  <c r="C426" i="16"/>
  <c r="C422" i="16"/>
  <c r="C418" i="16"/>
  <c r="C350" i="16"/>
  <c r="C346" i="16"/>
  <c r="C342" i="16"/>
  <c r="C338" i="16"/>
  <c r="C270" i="16"/>
  <c r="C266" i="16"/>
  <c r="C262" i="16"/>
  <c r="C258" i="16"/>
  <c r="C190" i="16"/>
  <c r="C186" i="16"/>
  <c r="C182" i="16"/>
  <c r="C178" i="16"/>
  <c r="C110" i="16"/>
  <c r="C106" i="16"/>
  <c r="C102" i="16"/>
  <c r="C98" i="16"/>
  <c r="C30" i="16"/>
  <c r="C26" i="16"/>
  <c r="C22" i="16"/>
  <c r="C18" i="16"/>
  <c r="C433" i="16"/>
  <c r="C429" i="16"/>
  <c r="C425" i="16"/>
  <c r="C421" i="16"/>
  <c r="C353" i="16"/>
  <c r="C349" i="16"/>
  <c r="C345" i="16"/>
  <c r="C341" i="16"/>
  <c r="C273" i="16"/>
  <c r="C269" i="16"/>
  <c r="C265" i="16"/>
  <c r="C261" i="16"/>
  <c r="C193" i="16"/>
  <c r="C189" i="16"/>
  <c r="C185" i="16"/>
  <c r="C181" i="16"/>
  <c r="C113" i="16"/>
  <c r="C109" i="16"/>
  <c r="C105" i="16"/>
  <c r="C101" i="16"/>
  <c r="C33" i="16"/>
  <c r="C29" i="16"/>
  <c r="C25" i="16"/>
  <c r="C21" i="16"/>
  <c r="C420" i="16"/>
  <c r="C340" i="16"/>
  <c r="C260" i="16"/>
  <c r="C180" i="16"/>
  <c r="C100" i="16"/>
  <c r="C20" i="16"/>
  <c r="C432" i="16"/>
  <c r="C352" i="16"/>
  <c r="C272" i="16"/>
  <c r="C112" i="16"/>
  <c r="C32" i="16"/>
  <c r="C348" i="16"/>
  <c r="C188" i="16"/>
  <c r="C28" i="16"/>
  <c r="C424" i="16"/>
  <c r="C264" i="16"/>
  <c r="C104" i="16"/>
  <c r="C192" i="16"/>
  <c r="C428" i="16"/>
  <c r="C268" i="16"/>
  <c r="C108" i="16"/>
  <c r="C344" i="16"/>
  <c r="C184" i="16"/>
  <c r="C24" i="16"/>
  <c r="D467" i="16"/>
  <c r="D403" i="16"/>
  <c r="D339" i="16"/>
  <c r="D275" i="16"/>
  <c r="D211" i="16"/>
  <c r="D147" i="16"/>
  <c r="D83" i="16"/>
  <c r="D19" i="16"/>
  <c r="D451" i="16"/>
  <c r="D387" i="16"/>
  <c r="D323" i="16"/>
  <c r="D259" i="16"/>
  <c r="D195" i="16"/>
  <c r="D131" i="16"/>
  <c r="D67" i="16"/>
  <c r="D3" i="16"/>
  <c r="D435" i="16"/>
  <c r="D371" i="16"/>
  <c r="D307" i="16"/>
  <c r="D243" i="16"/>
  <c r="D179" i="16"/>
  <c r="D115" i="16"/>
  <c r="D51" i="16"/>
  <c r="D227" i="16"/>
  <c r="D419" i="16"/>
  <c r="D163" i="16"/>
  <c r="D355" i="16"/>
  <c r="D99" i="16"/>
  <c r="D35" i="16"/>
  <c r="D291" i="16"/>
  <c r="AK331" i="2"/>
  <c r="AK451" i="2"/>
  <c r="AK336" i="2"/>
  <c r="AK285" i="2"/>
  <c r="AK291" i="2"/>
  <c r="AK365" i="2"/>
  <c r="AK284" i="2"/>
  <c r="AK353" i="2"/>
  <c r="AK366" i="2"/>
  <c r="AK461" i="2"/>
  <c r="AK283" i="2"/>
  <c r="AK270" i="2"/>
  <c r="AK289" i="2"/>
  <c r="F153" i="10"/>
  <c r="C415" i="16"/>
  <c r="C411" i="16"/>
  <c r="C407" i="16"/>
  <c r="C403" i="16"/>
  <c r="C335" i="16"/>
  <c r="C331" i="16"/>
  <c r="C327" i="16"/>
  <c r="C323" i="16"/>
  <c r="C255" i="16"/>
  <c r="C251" i="16"/>
  <c r="C247" i="16"/>
  <c r="C243" i="16"/>
  <c r="C175" i="16"/>
  <c r="C171" i="16"/>
  <c r="C167" i="16"/>
  <c r="C163" i="16"/>
  <c r="C95" i="16"/>
  <c r="C91" i="16"/>
  <c r="C87" i="16"/>
  <c r="C83" i="16"/>
  <c r="C15" i="16"/>
  <c r="C11" i="16"/>
  <c r="C7" i="16"/>
  <c r="C3" i="16"/>
  <c r="C414" i="16"/>
  <c r="C410" i="16"/>
  <c r="C406" i="16"/>
  <c r="C402" i="16"/>
  <c r="C334" i="16"/>
  <c r="C330" i="16"/>
  <c r="C326" i="16"/>
  <c r="C322" i="16"/>
  <c r="C254" i="16"/>
  <c r="C250" i="16"/>
  <c r="C246" i="16"/>
  <c r="C242" i="16"/>
  <c r="C174" i="16"/>
  <c r="C170" i="16"/>
  <c r="C166" i="16"/>
  <c r="C162" i="16"/>
  <c r="C94" i="16"/>
  <c r="C90" i="16"/>
  <c r="C86" i="16"/>
  <c r="C82" i="16"/>
  <c r="C14" i="16"/>
  <c r="C10" i="16"/>
  <c r="C6" i="16"/>
  <c r="C2" i="16"/>
  <c r="C417" i="16"/>
  <c r="C413" i="16"/>
  <c r="C409" i="16"/>
  <c r="C405" i="16"/>
  <c r="C337" i="16"/>
  <c r="C333" i="16"/>
  <c r="C329" i="16"/>
  <c r="C325" i="16"/>
  <c r="C257" i="16"/>
  <c r="C253" i="16"/>
  <c r="C249" i="16"/>
  <c r="C245" i="16"/>
  <c r="C177" i="16"/>
  <c r="C173" i="16"/>
  <c r="C169" i="16"/>
  <c r="C165" i="16"/>
  <c r="C97" i="16"/>
  <c r="C93" i="16"/>
  <c r="C89" i="16"/>
  <c r="C85" i="16"/>
  <c r="C17" i="16"/>
  <c r="C13" i="16"/>
  <c r="C9" i="16"/>
  <c r="C5" i="16"/>
  <c r="C168" i="16"/>
  <c r="C404" i="16"/>
  <c r="C324" i="16"/>
  <c r="C244" i="16"/>
  <c r="C164" i="16"/>
  <c r="C84" i="16"/>
  <c r="C4" i="16"/>
  <c r="C416" i="16"/>
  <c r="C336" i="16"/>
  <c r="C176" i="16"/>
  <c r="C96" i="16"/>
  <c r="C16" i="16"/>
  <c r="C412" i="16"/>
  <c r="C252" i="16"/>
  <c r="C92" i="16"/>
  <c r="C12" i="16"/>
  <c r="C408" i="16"/>
  <c r="C248" i="16"/>
  <c r="C8" i="16"/>
  <c r="C256" i="16"/>
  <c r="C332" i="16"/>
  <c r="C172" i="16"/>
  <c r="C328" i="16"/>
  <c r="C88" i="16"/>
  <c r="D448" i="16"/>
  <c r="D384" i="16"/>
  <c r="D320" i="16"/>
  <c r="D256" i="16"/>
  <c r="D192" i="16"/>
  <c r="D128" i="16"/>
  <c r="D64" i="16"/>
  <c r="D432" i="16"/>
  <c r="D368" i="16"/>
  <c r="D304" i="16"/>
  <c r="D240" i="16"/>
  <c r="D176" i="16"/>
  <c r="D112" i="16"/>
  <c r="D48" i="16"/>
  <c r="D480" i="16"/>
  <c r="D416" i="16"/>
  <c r="D352" i="16"/>
  <c r="D288" i="16"/>
  <c r="D224" i="16"/>
  <c r="D160" i="16"/>
  <c r="D96" i="16"/>
  <c r="D32" i="16"/>
  <c r="D464" i="16"/>
  <c r="D400" i="16"/>
  <c r="D336" i="16"/>
  <c r="D272" i="16"/>
  <c r="D208" i="16"/>
  <c r="D144" i="16"/>
  <c r="D80" i="16"/>
  <c r="D16" i="16"/>
  <c r="AJ2" i="2"/>
  <c r="C479" i="16"/>
  <c r="C475" i="16"/>
  <c r="C471" i="16"/>
  <c r="C467" i="16"/>
  <c r="C399" i="16"/>
  <c r="C395" i="16"/>
  <c r="C391" i="16"/>
  <c r="C387" i="16"/>
  <c r="C319" i="16"/>
  <c r="C315" i="16"/>
  <c r="C311" i="16"/>
  <c r="C307" i="16"/>
  <c r="C239" i="16"/>
  <c r="C235" i="16"/>
  <c r="C231" i="16"/>
  <c r="C227" i="16"/>
  <c r="C159" i="16"/>
  <c r="C155" i="16"/>
  <c r="C151" i="16"/>
  <c r="C147" i="16"/>
  <c r="C79" i="16"/>
  <c r="C75" i="16"/>
  <c r="C71" i="16"/>
  <c r="C67" i="16"/>
  <c r="C478" i="16"/>
  <c r="C474" i="16"/>
  <c r="C470" i="16"/>
  <c r="C466" i="16"/>
  <c r="C398" i="16"/>
  <c r="C394" i="16"/>
  <c r="C390" i="16"/>
  <c r="C386" i="16"/>
  <c r="C318" i="16"/>
  <c r="C314" i="16"/>
  <c r="C310" i="16"/>
  <c r="C306" i="16"/>
  <c r="C238" i="16"/>
  <c r="C234" i="16"/>
  <c r="C230" i="16"/>
  <c r="C226" i="16"/>
  <c r="C158" i="16"/>
  <c r="C154" i="16"/>
  <c r="C150" i="16"/>
  <c r="C146" i="16"/>
  <c r="C78" i="16"/>
  <c r="C74" i="16"/>
  <c r="C70" i="16"/>
  <c r="C66" i="16"/>
  <c r="C481" i="16"/>
  <c r="C477" i="16"/>
  <c r="C473" i="16"/>
  <c r="C469" i="16"/>
  <c r="C401" i="16"/>
  <c r="C397" i="16"/>
  <c r="C393" i="16"/>
  <c r="C389" i="16"/>
  <c r="C321" i="16"/>
  <c r="C317" i="16"/>
  <c r="C313" i="16"/>
  <c r="C309" i="16"/>
  <c r="C241" i="16"/>
  <c r="C237" i="16"/>
  <c r="C233" i="16"/>
  <c r="C229" i="16"/>
  <c r="C161" i="16"/>
  <c r="C157" i="16"/>
  <c r="C153" i="16"/>
  <c r="C149" i="16"/>
  <c r="C81" i="16"/>
  <c r="C77" i="16"/>
  <c r="C73" i="16"/>
  <c r="C69" i="16"/>
  <c r="C468" i="16"/>
  <c r="C388" i="16"/>
  <c r="C308" i="16"/>
  <c r="C228" i="16"/>
  <c r="C148" i="16"/>
  <c r="C68" i="16"/>
  <c r="C396" i="16"/>
  <c r="C236" i="16"/>
  <c r="C76" i="16"/>
  <c r="C392" i="16"/>
  <c r="C232" i="16"/>
  <c r="C72" i="16"/>
  <c r="C480" i="16"/>
  <c r="C400" i="16"/>
  <c r="C320" i="16"/>
  <c r="C240" i="16"/>
  <c r="C160" i="16"/>
  <c r="C80" i="16"/>
  <c r="C476" i="16"/>
  <c r="C316" i="16"/>
  <c r="C156" i="16"/>
  <c r="C472" i="16"/>
  <c r="C312" i="16"/>
  <c r="C152" i="16"/>
  <c r="D469" i="16"/>
  <c r="D405" i="16"/>
  <c r="D341" i="16"/>
  <c r="D277" i="16"/>
  <c r="D213" i="16"/>
  <c r="D149" i="16"/>
  <c r="D85" i="16"/>
  <c r="D21" i="16"/>
  <c r="D453" i="16"/>
  <c r="D389" i="16"/>
  <c r="D325" i="16"/>
  <c r="D261" i="16"/>
  <c r="D197" i="16"/>
  <c r="D133" i="16"/>
  <c r="D69" i="16"/>
  <c r="D5" i="16"/>
  <c r="D437" i="16"/>
  <c r="D373" i="16"/>
  <c r="D309" i="16"/>
  <c r="D245" i="16"/>
  <c r="D181" i="16"/>
  <c r="D117" i="16"/>
  <c r="D53" i="16"/>
  <c r="D293" i="16"/>
  <c r="D37" i="16"/>
  <c r="D229" i="16"/>
  <c r="D421" i="16"/>
  <c r="D165" i="16"/>
  <c r="D101" i="16"/>
  <c r="D357" i="16"/>
  <c r="D481" i="16"/>
  <c r="D417" i="16"/>
  <c r="D353" i="16"/>
  <c r="D289" i="16"/>
  <c r="D225" i="16"/>
  <c r="D161" i="16"/>
  <c r="D97" i="16"/>
  <c r="D33" i="16"/>
  <c r="D465" i="16"/>
  <c r="D401" i="16"/>
  <c r="D337" i="16"/>
  <c r="D273" i="16"/>
  <c r="D209" i="16"/>
  <c r="D145" i="16"/>
  <c r="D81" i="16"/>
  <c r="D17" i="16"/>
  <c r="D449" i="16"/>
  <c r="D385" i="16"/>
  <c r="D321" i="16"/>
  <c r="D257" i="16"/>
  <c r="D193" i="16"/>
  <c r="D129" i="16"/>
  <c r="D65" i="16"/>
  <c r="D433" i="16"/>
  <c r="D369" i="16"/>
  <c r="D305" i="16"/>
  <c r="D241" i="16"/>
  <c r="D177" i="16"/>
  <c r="D113" i="16"/>
  <c r="D49" i="16"/>
  <c r="D455" i="16"/>
  <c r="D391" i="16"/>
  <c r="D327" i="16"/>
  <c r="D263" i="16"/>
  <c r="D199" i="16"/>
  <c r="D135" i="16"/>
  <c r="D71" i="16"/>
  <c r="D7" i="16"/>
  <c r="D423" i="16"/>
  <c r="D359" i="16"/>
  <c r="D295" i="16"/>
  <c r="D231" i="16"/>
  <c r="D167" i="16"/>
  <c r="D103" i="16"/>
  <c r="D39" i="16"/>
  <c r="D471" i="16"/>
  <c r="D343" i="16"/>
  <c r="D215" i="16"/>
  <c r="D87" i="16"/>
  <c r="D439" i="16"/>
  <c r="D311" i="16"/>
  <c r="D183" i="16"/>
  <c r="D55" i="16"/>
  <c r="D407" i="16"/>
  <c r="D279" i="16"/>
  <c r="D151" i="16"/>
  <c r="D23" i="16"/>
  <c r="D375" i="16"/>
  <c r="D247" i="16"/>
  <c r="D119" i="16"/>
  <c r="AK443" i="2"/>
  <c r="AK357" i="2"/>
  <c r="AK444" i="2"/>
  <c r="AK332" i="2"/>
  <c r="AK354" i="2"/>
  <c r="AK333" i="2"/>
  <c r="AK335" i="2"/>
  <c r="AK368" i="2"/>
  <c r="AK290" i="2"/>
  <c r="AK356" i="2"/>
  <c r="AK448" i="2"/>
  <c r="AK457" i="2"/>
  <c r="AK450" i="2"/>
  <c r="B70" i="10"/>
  <c r="D428" i="16"/>
  <c r="D364" i="16"/>
  <c r="D300" i="16"/>
  <c r="D236" i="16"/>
  <c r="D172" i="16"/>
  <c r="D108" i="16"/>
  <c r="D44" i="16"/>
  <c r="D460" i="16"/>
  <c r="D396" i="16"/>
  <c r="D332" i="16"/>
  <c r="D268" i="16"/>
  <c r="D204" i="16"/>
  <c r="D140" i="16"/>
  <c r="D76" i="16"/>
  <c r="D12" i="16"/>
  <c r="D380" i="16"/>
  <c r="D252" i="16"/>
  <c r="D124" i="16"/>
  <c r="D476" i="16"/>
  <c r="D348" i="16"/>
  <c r="D220" i="16"/>
  <c r="D92" i="16"/>
  <c r="D444" i="16"/>
  <c r="D316" i="16"/>
  <c r="D188" i="16"/>
  <c r="D60" i="16"/>
  <c r="D28" i="16"/>
  <c r="D412" i="16"/>
  <c r="D284" i="16"/>
  <c r="D156" i="16"/>
  <c r="D424" i="16"/>
  <c r="D360" i="16"/>
  <c r="D296" i="16"/>
  <c r="D232" i="16"/>
  <c r="D168" i="16"/>
  <c r="D104" i="16"/>
  <c r="D40" i="16"/>
  <c r="D456" i="16"/>
  <c r="D392" i="16"/>
  <c r="D328" i="16"/>
  <c r="D264" i="16"/>
  <c r="D200" i="16"/>
  <c r="D136" i="16"/>
  <c r="D72" i="16"/>
  <c r="D8" i="16"/>
  <c r="D376" i="16"/>
  <c r="D248" i="16"/>
  <c r="D120" i="16"/>
  <c r="D472" i="16"/>
  <c r="D344" i="16"/>
  <c r="D216" i="16"/>
  <c r="D88" i="16"/>
  <c r="D440" i="16"/>
  <c r="D312" i="16"/>
  <c r="D184" i="16"/>
  <c r="D56" i="16"/>
  <c r="D408" i="16"/>
  <c r="D280" i="16"/>
  <c r="D152" i="16"/>
  <c r="D24" i="16"/>
  <c r="AK350" i="2"/>
  <c r="AK293" i="2"/>
  <c r="AK338" i="2"/>
  <c r="AK351" i="2"/>
  <c r="AK286" i="2"/>
  <c r="AK453" i="2"/>
  <c r="AK370" i="2"/>
  <c r="AK367" i="2"/>
  <c r="AK440" i="2"/>
  <c r="AK288" i="2"/>
  <c r="AK358" i="2"/>
  <c r="AK369" i="2"/>
  <c r="D477" i="16"/>
  <c r="D413" i="16"/>
  <c r="D349" i="16"/>
  <c r="D285" i="16"/>
  <c r="D221" i="16"/>
  <c r="D461" i="16"/>
  <c r="D397" i="16"/>
  <c r="D333" i="16"/>
  <c r="D269" i="16"/>
  <c r="D205" i="16"/>
  <c r="D141" i="16"/>
  <c r="D77" i="16"/>
  <c r="D13" i="16"/>
  <c r="D445" i="16"/>
  <c r="D381" i="16"/>
  <c r="D317" i="16"/>
  <c r="D253" i="16"/>
  <c r="D189" i="16"/>
  <c r="D429" i="16"/>
  <c r="D365" i="16"/>
  <c r="D301" i="16"/>
  <c r="D237" i="16"/>
  <c r="D173" i="16"/>
  <c r="D109" i="16"/>
  <c r="D45" i="16"/>
  <c r="D157" i="16"/>
  <c r="D29" i="16"/>
  <c r="D125" i="16"/>
  <c r="D93" i="16"/>
  <c r="D61" i="16"/>
  <c r="D446" i="16"/>
  <c r="D382" i="16"/>
  <c r="D318" i="16"/>
  <c r="D254" i="16"/>
  <c r="D190" i="16"/>
  <c r="D126" i="16"/>
  <c r="D62" i="16"/>
  <c r="D430" i="16"/>
  <c r="D366" i="16"/>
  <c r="D302" i="16"/>
  <c r="D238" i="16"/>
  <c r="D174" i="16"/>
  <c r="D110" i="16"/>
  <c r="D46" i="16"/>
  <c r="D478" i="16"/>
  <c r="D414" i="16"/>
  <c r="D350" i="16"/>
  <c r="D286" i="16"/>
  <c r="D222" i="16"/>
  <c r="D158" i="16"/>
  <c r="D94" i="16"/>
  <c r="D30" i="16"/>
  <c r="D462" i="16"/>
  <c r="D398" i="16"/>
  <c r="D334" i="16"/>
  <c r="D270" i="16"/>
  <c r="D206" i="16"/>
  <c r="D142" i="16"/>
  <c r="D78" i="16"/>
  <c r="D14" i="16"/>
  <c r="R6" i="2"/>
  <c r="AK328" i="2"/>
  <c r="AT55" i="2"/>
  <c r="AV55" i="2" s="1"/>
  <c r="AK387" i="2"/>
  <c r="AK373" i="2"/>
  <c r="AK384" i="2"/>
  <c r="AK460" i="2"/>
  <c r="AK298" i="2"/>
  <c r="AQ55" i="2"/>
  <c r="AO24" i="2"/>
  <c r="AK372" i="2"/>
  <c r="AK407" i="2"/>
  <c r="AK393" i="2"/>
  <c r="AK273" i="2"/>
  <c r="AK330" i="2"/>
  <c r="AK386" i="2"/>
  <c r="B18" i="13"/>
  <c r="AK326" i="2"/>
  <c r="AK417" i="2"/>
  <c r="AK363" i="2"/>
  <c r="AK362" i="2"/>
  <c r="AK385" i="2"/>
  <c r="AK390" i="2"/>
  <c r="AO55" i="2"/>
  <c r="U13" i="16"/>
  <c r="AT35" i="2"/>
  <c r="AK406" i="2"/>
  <c r="AK279" i="2"/>
  <c r="AK346" i="2"/>
  <c r="AK321" i="2"/>
  <c r="AK344" i="2"/>
  <c r="AK379" i="2"/>
  <c r="AK412" i="2"/>
  <c r="AK269" i="2"/>
  <c r="C68" i="6"/>
  <c r="AK435" i="2"/>
  <c r="AK459" i="2"/>
  <c r="AK414" i="2"/>
  <c r="AK249" i="2"/>
  <c r="AK413" i="2"/>
  <c r="AK421" i="2"/>
  <c r="AK319" i="2"/>
  <c r="AK345" i="2"/>
  <c r="AK419" i="2"/>
  <c r="AK343" i="2"/>
  <c r="AK259" i="2"/>
  <c r="AK392" i="2"/>
  <c r="AK429" i="2"/>
  <c r="AK320" i="2"/>
  <c r="AK311" i="2"/>
  <c r="AK342" i="2"/>
  <c r="AK439" i="2"/>
  <c r="AK424" i="2"/>
  <c r="AK403" i="2"/>
  <c r="AK398" i="2"/>
  <c r="AK465" i="2"/>
  <c r="AK281" i="2"/>
  <c r="AK360" i="2"/>
  <c r="AK303" i="2"/>
  <c r="AK263" i="2"/>
  <c r="AK423" i="2"/>
  <c r="AK310" i="2"/>
  <c r="AK361" i="2"/>
  <c r="AK428" i="2"/>
  <c r="AK272" i="2"/>
  <c r="AK401" i="2"/>
  <c r="AK305" i="2"/>
  <c r="AK464" i="2"/>
  <c r="AK268" i="2"/>
  <c r="AK399" i="2"/>
  <c r="AK382" i="2"/>
  <c r="AK265" i="2"/>
  <c r="AK271" i="2"/>
  <c r="AK466" i="2"/>
  <c r="AK307" i="2"/>
  <c r="AK405" i="2"/>
  <c r="AK304" i="2"/>
  <c r="AK341" i="2"/>
  <c r="AK264" i="2"/>
  <c r="AK275" i="2"/>
  <c r="AK247" i="2"/>
  <c r="AK380" i="2"/>
  <c r="AK347" i="2"/>
  <c r="AK446" i="2"/>
  <c r="AK374" i="2"/>
  <c r="AK422" i="2"/>
  <c r="AK258" i="2"/>
  <c r="AK316" i="2"/>
  <c r="AK411" i="2"/>
  <c r="AK339" i="2"/>
  <c r="AK410" i="2"/>
  <c r="AK266" i="2"/>
  <c r="AK313" i="2"/>
  <c r="AK400" i="2"/>
  <c r="B17" i="13"/>
  <c r="AK302" i="2"/>
  <c r="AK425" i="2"/>
  <c r="AK340" i="2"/>
  <c r="AK257" i="2"/>
  <c r="AK418" i="2"/>
  <c r="R9" i="2"/>
  <c r="AK248" i="2"/>
  <c r="AK306" i="2"/>
  <c r="AK420" i="2"/>
  <c r="AK438" i="2"/>
  <c r="AK383" i="2"/>
  <c r="AK309" i="2"/>
  <c r="AK378" i="2"/>
  <c r="AK261" i="2"/>
  <c r="AK415" i="2"/>
  <c r="AK430" i="2"/>
  <c r="AK397" i="2"/>
  <c r="AK300" i="2"/>
  <c r="AK375" i="2"/>
  <c r="AK426" i="2"/>
  <c r="AK314" i="2"/>
  <c r="AK381" i="2"/>
  <c r="AK432" i="2"/>
  <c r="AK280" i="2"/>
  <c r="AK315" i="2"/>
  <c r="AK260" i="2"/>
  <c r="AK394" i="2"/>
  <c r="AK445" i="2"/>
  <c r="AK277" i="2"/>
  <c r="AK348" i="2"/>
  <c r="AK404" i="2"/>
  <c r="AK308" i="2"/>
  <c r="AK318" i="2"/>
  <c r="AK436" i="2"/>
  <c r="AK262" i="2"/>
  <c r="AF2" i="2"/>
  <c r="AT44" i="2"/>
  <c r="AV44" i="2" s="1"/>
  <c r="AV46" i="2" s="1"/>
  <c r="AQ33" i="2"/>
  <c r="AQ35" i="2" s="1"/>
  <c r="AQ44" i="2"/>
  <c r="AQ46" i="2" s="1"/>
  <c r="AK364" i="2"/>
  <c r="AK481" i="2"/>
  <c r="AK473" i="2"/>
  <c r="AK474" i="2"/>
  <c r="C21" i="13"/>
  <c r="AK323" i="2"/>
  <c r="AK475" i="2"/>
  <c r="AO44" i="2"/>
  <c r="AO46" i="2" s="1"/>
  <c r="AK480" i="2"/>
  <c r="AK476" i="2"/>
  <c r="AK472" i="2"/>
  <c r="AK468" i="2"/>
  <c r="AK479" i="2"/>
  <c r="AK471" i="2"/>
  <c r="AK478" i="2"/>
  <c r="AK470" i="2"/>
  <c r="AK477" i="2"/>
  <c r="AK469" i="2"/>
  <c r="AY56" i="2"/>
  <c r="AZ14" i="2"/>
  <c r="AZ56" i="2"/>
  <c r="AO53" i="2" s="1"/>
  <c r="AO33" i="2"/>
  <c r="AO35" i="2" s="1"/>
  <c r="W12" i="2"/>
  <c r="M163" i="10"/>
  <c r="AV7" i="2"/>
  <c r="AR12" i="2"/>
  <c r="AR18" i="2"/>
  <c r="AV18" i="2" s="1"/>
  <c r="AR13" i="2"/>
  <c r="AV13" i="2" s="1"/>
  <c r="AR24" i="2"/>
  <c r="AV24" i="2" s="1"/>
  <c r="BA52" i="2"/>
  <c r="BA31" i="2"/>
  <c r="F77" i="4"/>
  <c r="BA30" i="2"/>
  <c r="AO51" i="2"/>
  <c r="BA17" i="2"/>
  <c r="BA19" i="2" s="1"/>
  <c r="AQ16" i="2"/>
  <c r="AR6" i="2"/>
  <c r="G41" i="4"/>
  <c r="J45" i="1" s="1"/>
  <c r="M95" i="2"/>
  <c r="F31" i="4"/>
  <c r="G87" i="4"/>
  <c r="G43" i="4"/>
  <c r="J47" i="1" s="1"/>
  <c r="AO25" i="2"/>
  <c r="AO14" i="2"/>
  <c r="D11" i="4"/>
  <c r="L68" i="2"/>
  <c r="L44" i="2" s="1"/>
  <c r="G11" i="4"/>
  <c r="I163" i="10"/>
  <c r="I15" i="6"/>
  <c r="AK452" i="2"/>
  <c r="B173" i="10"/>
  <c r="C104" i="10"/>
  <c r="AK297" i="2"/>
  <c r="AK294" i="2"/>
  <c r="AK299" i="2"/>
  <c r="C2" i="6"/>
  <c r="AK325" i="2"/>
  <c r="AK503" i="2"/>
  <c r="AK324" i="2"/>
  <c r="AK327" i="2"/>
  <c r="R15" i="2"/>
  <c r="AK458" i="2"/>
  <c r="AK329" i="2"/>
  <c r="AK505" i="2"/>
  <c r="AK507" i="2"/>
  <c r="AK322" i="2"/>
  <c r="AK506" i="2"/>
  <c r="R14" i="2"/>
  <c r="R10" i="2"/>
  <c r="I153" i="10"/>
  <c r="C11" i="6"/>
  <c r="H88" i="4"/>
  <c r="K124" i="10"/>
  <c r="G57" i="4"/>
  <c r="AK389" i="2"/>
  <c r="AK396" i="2"/>
  <c r="AK388" i="2"/>
  <c r="AK276" i="2"/>
  <c r="AK376" i="2"/>
  <c r="AK377" i="2"/>
  <c r="R11" i="2"/>
  <c r="AR52" i="2"/>
  <c r="AR23" i="2"/>
  <c r="AV23" i="2" s="1"/>
  <c r="AT5" i="2"/>
  <c r="AV41" i="2"/>
  <c r="A111" i="2"/>
  <c r="D115" i="2"/>
  <c r="G62" i="1" s="1"/>
  <c r="AS25" i="2"/>
  <c r="AS14" i="2"/>
  <c r="AO32" i="2"/>
  <c r="AO30" i="2"/>
  <c r="B14" i="13"/>
  <c r="C9" i="6"/>
  <c r="AO31" i="2"/>
  <c r="O13" i="2"/>
  <c r="H30" i="4" s="1"/>
  <c r="AV43" i="2"/>
  <c r="C58" i="2"/>
  <c r="C34" i="2" s="1"/>
  <c r="G20" i="4" s="1"/>
  <c r="M93" i="2"/>
  <c r="E69" i="4"/>
  <c r="D58" i="4"/>
  <c r="E59" i="4"/>
  <c r="H32" i="4"/>
  <c r="H42" i="4"/>
  <c r="B36" i="2"/>
  <c r="F43" i="4"/>
  <c r="K47" i="1" s="1"/>
  <c r="D12" i="4"/>
  <c r="G58" i="4"/>
  <c r="D42" i="4"/>
  <c r="E42" i="4"/>
  <c r="E88" i="4"/>
  <c r="D88" i="4"/>
  <c r="E12" i="4"/>
  <c r="E58" i="4"/>
  <c r="E89" i="4"/>
  <c r="F42" i="4"/>
  <c r="K46" i="1" s="1"/>
  <c r="E33" i="4"/>
  <c r="B88" i="2"/>
  <c r="D88" i="2"/>
  <c r="C88" i="2"/>
  <c r="F88" i="2"/>
  <c r="G88" i="2"/>
  <c r="E79" i="4"/>
  <c r="G12" i="4"/>
  <c r="J25" i="1" s="1"/>
  <c r="B2" i="13"/>
  <c r="I168" i="10"/>
  <c r="W7" i="2"/>
  <c r="G22" i="4"/>
  <c r="D22" i="4"/>
  <c r="E22" i="4"/>
  <c r="A117" i="2"/>
  <c r="A64" i="1" s="1"/>
  <c r="D117" i="2"/>
  <c r="G64" i="1" s="1"/>
  <c r="C117" i="2"/>
  <c r="E64" i="1" s="1"/>
  <c r="D77" i="4"/>
  <c r="D87" i="4"/>
  <c r="C45" i="1" s="1"/>
  <c r="H87" i="4"/>
  <c r="D57" i="4"/>
  <c r="D67" i="4"/>
  <c r="C112" i="2"/>
  <c r="E60" i="1" s="1"/>
  <c r="A112" i="2"/>
  <c r="A60" i="1" s="1"/>
  <c r="A110" i="2"/>
  <c r="C110" i="2"/>
  <c r="C87" i="2"/>
  <c r="A87" i="2"/>
  <c r="G87" i="2"/>
  <c r="B87" i="2"/>
  <c r="F87" i="2"/>
  <c r="D87" i="2"/>
  <c r="A114" i="2"/>
  <c r="A61" i="1" s="1"/>
  <c r="C114" i="2"/>
  <c r="E61" i="1" s="1"/>
  <c r="H77" i="4"/>
  <c r="F57" i="4"/>
  <c r="H24" i="1" s="1"/>
  <c r="AV22" i="2"/>
  <c r="G31" i="4"/>
  <c r="D31" i="4"/>
  <c r="E31" i="4"/>
  <c r="F158" i="10"/>
  <c r="W5" i="2"/>
  <c r="E77" i="4"/>
  <c r="E87" i="4"/>
  <c r="E57" i="4"/>
  <c r="F24" i="1" s="1"/>
  <c r="E67" i="4"/>
  <c r="G77" i="4"/>
  <c r="G67" i="4"/>
  <c r="F126" i="2"/>
  <c r="F55" i="1" s="1"/>
  <c r="B126" i="2"/>
  <c r="A55" i="1" s="1"/>
  <c r="C126" i="2"/>
  <c r="C55" i="1" s="1"/>
  <c r="D126" i="2"/>
  <c r="D55" i="1" s="1"/>
  <c r="G126" i="2"/>
  <c r="G55" i="1" s="1"/>
  <c r="E13" i="4"/>
  <c r="R5" i="2"/>
  <c r="G124" i="10"/>
  <c r="F88" i="4"/>
  <c r="A115" i="2"/>
  <c r="A62" i="1" s="1"/>
  <c r="C115" i="2"/>
  <c r="E62" i="1" s="1"/>
  <c r="F87" i="4"/>
  <c r="F41" i="4"/>
  <c r="K45" i="1" s="1"/>
  <c r="H31" i="4"/>
  <c r="D21" i="4"/>
  <c r="E21" i="4"/>
  <c r="G21" i="4"/>
  <c r="E43" i="4"/>
  <c r="E23" i="4"/>
  <c r="H78" i="4"/>
  <c r="M153" i="10"/>
  <c r="E41" i="4"/>
  <c r="H41" i="4"/>
  <c r="I45" i="1" s="1"/>
  <c r="E68" i="4"/>
  <c r="G68" i="4"/>
  <c r="D116" i="2"/>
  <c r="G63" i="1" s="1"/>
  <c r="C116" i="2"/>
  <c r="E63" i="1" s="1"/>
  <c r="A116" i="2"/>
  <c r="A63" i="1" s="1"/>
  <c r="D111" i="2"/>
  <c r="C111" i="2"/>
  <c r="D68" i="4"/>
  <c r="C49" i="2"/>
  <c r="E73" i="2"/>
  <c r="E49" i="2" s="1"/>
  <c r="G42" i="4"/>
  <c r="J46" i="1" s="1"/>
  <c r="F78" i="4"/>
  <c r="F32" i="4"/>
  <c r="M102" i="2"/>
  <c r="K102" i="2"/>
  <c r="D102" i="2" s="1"/>
  <c r="D112" i="2" s="1"/>
  <c r="G60" i="1" s="1"/>
  <c r="K104" i="2"/>
  <c r="D104" i="2" s="1"/>
  <c r="M104" i="2"/>
  <c r="M99" i="2"/>
  <c r="K99" i="2"/>
  <c r="D99" i="2" s="1"/>
  <c r="G88" i="4"/>
  <c r="K105" i="2"/>
  <c r="D105" i="2" s="1"/>
  <c r="D114" i="2" s="1"/>
  <c r="G61" i="1" s="1"/>
  <c r="M105" i="2"/>
  <c r="J39" i="2"/>
  <c r="L63" i="2"/>
  <c r="L39" i="2" s="1"/>
  <c r="B35" i="2"/>
  <c r="C59" i="2"/>
  <c r="C35" i="2" s="1"/>
  <c r="D78" i="4"/>
  <c r="D32" i="4"/>
  <c r="G32" i="4"/>
  <c r="E78" i="4"/>
  <c r="E32" i="4"/>
  <c r="G78" i="4"/>
  <c r="M101" i="2"/>
  <c r="K101" i="2"/>
  <c r="D101" i="2" s="1"/>
  <c r="K40" i="2"/>
  <c r="L64" i="2"/>
  <c r="L40" i="2" s="1"/>
  <c r="H48" i="2"/>
  <c r="I72" i="2"/>
  <c r="I48" i="2" s="1"/>
  <c r="C57" i="2"/>
  <c r="C33" i="2" s="1"/>
  <c r="B33" i="2"/>
  <c r="AV33" i="2"/>
  <c r="AV35" i="2" s="1"/>
  <c r="C48" i="2"/>
  <c r="E72" i="2"/>
  <c r="E48" i="2" s="1"/>
  <c r="K36" i="2"/>
  <c r="L60" i="2"/>
  <c r="L36" i="2" s="1"/>
  <c r="K41" i="2"/>
  <c r="L65" i="2"/>
  <c r="L41" i="2" s="1"/>
  <c r="H76" i="4"/>
  <c r="F86" i="4"/>
  <c r="H86" i="4"/>
  <c r="D40" i="4"/>
  <c r="D86" i="4"/>
  <c r="F40" i="4"/>
  <c r="H40" i="4"/>
  <c r="E40" i="4"/>
  <c r="E86" i="4"/>
  <c r="K96" i="2"/>
  <c r="D96" i="2" s="1"/>
  <c r="M96" i="2"/>
  <c r="L97" i="2"/>
  <c r="L57" i="2"/>
  <c r="L33" i="2" s="1"/>
  <c r="J33" i="2"/>
  <c r="M103" i="2"/>
  <c r="K103" i="2"/>
  <c r="D103" i="2" s="1"/>
  <c r="K37" i="2"/>
  <c r="L61" i="2"/>
  <c r="L37" i="2" s="1"/>
  <c r="AT16" i="2" l="1"/>
  <c r="D434" i="16"/>
  <c r="AV11" i="2"/>
  <c r="W3" i="16"/>
  <c r="D110" i="2"/>
  <c r="G59" i="1" s="1"/>
  <c r="K48" i="1" s="1"/>
  <c r="D338" i="16"/>
  <c r="K338" i="16" s="1"/>
  <c r="D24" i="1"/>
  <c r="AV12" i="2"/>
  <c r="D258" i="16"/>
  <c r="K258" i="16" s="1"/>
  <c r="D98" i="16"/>
  <c r="K98" i="16" s="1"/>
  <c r="D386" i="16"/>
  <c r="K386" i="16" s="1"/>
  <c r="D354" i="16"/>
  <c r="K354" i="16" s="1"/>
  <c r="D82" i="16"/>
  <c r="K82" i="16" s="1"/>
  <c r="D178" i="16"/>
  <c r="K178" i="16" s="1"/>
  <c r="D322" i="16"/>
  <c r="K322" i="16" s="1"/>
  <c r="D450" i="16"/>
  <c r="K450" i="16" s="1"/>
  <c r="D210" i="16"/>
  <c r="K210" i="16" s="1"/>
  <c r="D466" i="16"/>
  <c r="D226" i="16"/>
  <c r="K226" i="16" s="1"/>
  <c r="D50" i="16"/>
  <c r="K50" i="16" s="1"/>
  <c r="D306" i="16"/>
  <c r="K306" i="16" s="1"/>
  <c r="D2" i="16"/>
  <c r="K2" i="16" s="1"/>
  <c r="D130" i="16"/>
  <c r="K130" i="16" s="1"/>
  <c r="D18" i="16"/>
  <c r="K18" i="16" s="1"/>
  <c r="D274" i="16"/>
  <c r="K274" i="16" s="1"/>
  <c r="D34" i="16"/>
  <c r="K34" i="16" s="1"/>
  <c r="D290" i="16"/>
  <c r="K290" i="16" s="1"/>
  <c r="D114" i="16"/>
  <c r="K114" i="16" s="1"/>
  <c r="D370" i="16"/>
  <c r="K370" i="16" s="1"/>
  <c r="D66" i="16"/>
  <c r="K66" i="16" s="1"/>
  <c r="D194" i="16"/>
  <c r="K194" i="16" s="1"/>
  <c r="D146" i="16"/>
  <c r="K146" i="16" s="1"/>
  <c r="D402" i="16"/>
  <c r="K402" i="16" s="1"/>
  <c r="D162" i="16"/>
  <c r="K162" i="16" s="1"/>
  <c r="D418" i="16"/>
  <c r="K418" i="16" s="1"/>
  <c r="D459" i="16"/>
  <c r="K459" i="16" s="1"/>
  <c r="D395" i="16"/>
  <c r="K395" i="16" s="1"/>
  <c r="D331" i="16"/>
  <c r="K331" i="16" s="1"/>
  <c r="D267" i="16"/>
  <c r="K267" i="16" s="1"/>
  <c r="D203" i="16"/>
  <c r="K203" i="16" s="1"/>
  <c r="D139" i="16"/>
  <c r="K139" i="16" s="1"/>
  <c r="D75" i="16"/>
  <c r="K75" i="16" s="1"/>
  <c r="D11" i="16"/>
  <c r="K11" i="16" s="1"/>
  <c r="D427" i="16"/>
  <c r="K427" i="16" s="1"/>
  <c r="D363" i="16"/>
  <c r="K363" i="16" s="1"/>
  <c r="D299" i="16"/>
  <c r="K299" i="16" s="1"/>
  <c r="D235" i="16"/>
  <c r="K235" i="16" s="1"/>
  <c r="D171" i="16"/>
  <c r="K171" i="16" s="1"/>
  <c r="D107" i="16"/>
  <c r="K107" i="16" s="1"/>
  <c r="D43" i="16"/>
  <c r="K43" i="16" s="1"/>
  <c r="D475" i="16"/>
  <c r="K475" i="16" s="1"/>
  <c r="D347" i="16"/>
  <c r="K347" i="16" s="1"/>
  <c r="D219" i="16"/>
  <c r="K219" i="16" s="1"/>
  <c r="D91" i="16"/>
  <c r="K91" i="16" s="1"/>
  <c r="D443" i="16"/>
  <c r="K443" i="16" s="1"/>
  <c r="D315" i="16"/>
  <c r="K315" i="16" s="1"/>
  <c r="D187" i="16"/>
  <c r="K187" i="16" s="1"/>
  <c r="D59" i="16"/>
  <c r="K59" i="16" s="1"/>
  <c r="D411" i="16"/>
  <c r="K411" i="16" s="1"/>
  <c r="D283" i="16"/>
  <c r="K283" i="16" s="1"/>
  <c r="D155" i="16"/>
  <c r="K155" i="16" s="1"/>
  <c r="D27" i="16"/>
  <c r="K27" i="16" s="1"/>
  <c r="D379" i="16"/>
  <c r="K379" i="16" s="1"/>
  <c r="D251" i="16"/>
  <c r="K251" i="16" s="1"/>
  <c r="D123" i="16"/>
  <c r="K123" i="16" s="1"/>
  <c r="C447" i="16"/>
  <c r="J447" i="16" s="1"/>
  <c r="C443" i="16"/>
  <c r="J443" i="16" s="1"/>
  <c r="C439" i="16"/>
  <c r="J439" i="16" s="1"/>
  <c r="C435" i="16"/>
  <c r="J435" i="16" s="1"/>
  <c r="C367" i="16"/>
  <c r="J367" i="16" s="1"/>
  <c r="C363" i="16"/>
  <c r="J363" i="16" s="1"/>
  <c r="C359" i="16"/>
  <c r="J359" i="16" s="1"/>
  <c r="C355" i="16"/>
  <c r="J355" i="16" s="1"/>
  <c r="C287" i="16"/>
  <c r="J287" i="16" s="1"/>
  <c r="C283" i="16"/>
  <c r="J283" i="16" s="1"/>
  <c r="C279" i="16"/>
  <c r="J279" i="16" s="1"/>
  <c r="C275" i="16"/>
  <c r="J275" i="16" s="1"/>
  <c r="C207" i="16"/>
  <c r="J207" i="16" s="1"/>
  <c r="C203" i="16"/>
  <c r="J203" i="16" s="1"/>
  <c r="C199" i="16"/>
  <c r="J199" i="16" s="1"/>
  <c r="C195" i="16"/>
  <c r="J195" i="16" s="1"/>
  <c r="C127" i="16"/>
  <c r="J127" i="16" s="1"/>
  <c r="C123" i="16"/>
  <c r="J123" i="16" s="1"/>
  <c r="C119" i="16"/>
  <c r="J119" i="16" s="1"/>
  <c r="C115" i="16"/>
  <c r="J115" i="16" s="1"/>
  <c r="C47" i="16"/>
  <c r="J47" i="16" s="1"/>
  <c r="C43" i="16"/>
  <c r="J43" i="16" s="1"/>
  <c r="C39" i="16"/>
  <c r="J39" i="16" s="1"/>
  <c r="C35" i="16"/>
  <c r="J35" i="16" s="1"/>
  <c r="C446" i="16"/>
  <c r="J446" i="16" s="1"/>
  <c r="C442" i="16"/>
  <c r="J442" i="16" s="1"/>
  <c r="C438" i="16"/>
  <c r="J438" i="16" s="1"/>
  <c r="C434" i="16"/>
  <c r="J434" i="16" s="1"/>
  <c r="C366" i="16"/>
  <c r="J366" i="16" s="1"/>
  <c r="C362" i="16"/>
  <c r="J362" i="16" s="1"/>
  <c r="C358" i="16"/>
  <c r="J358" i="16" s="1"/>
  <c r="C354" i="16"/>
  <c r="J354" i="16" s="1"/>
  <c r="C286" i="16"/>
  <c r="J286" i="16" s="1"/>
  <c r="C282" i="16"/>
  <c r="J282" i="16" s="1"/>
  <c r="C278" i="16"/>
  <c r="J278" i="16" s="1"/>
  <c r="C274" i="16"/>
  <c r="J274" i="16" s="1"/>
  <c r="C206" i="16"/>
  <c r="J206" i="16" s="1"/>
  <c r="C202" i="16"/>
  <c r="J202" i="16" s="1"/>
  <c r="C198" i="16"/>
  <c r="J198" i="16" s="1"/>
  <c r="C194" i="16"/>
  <c r="J194" i="16" s="1"/>
  <c r="C126" i="16"/>
  <c r="J126" i="16" s="1"/>
  <c r="C122" i="16"/>
  <c r="J122" i="16" s="1"/>
  <c r="C118" i="16"/>
  <c r="J118" i="16" s="1"/>
  <c r="C114" i="16"/>
  <c r="J114" i="16" s="1"/>
  <c r="C46" i="16"/>
  <c r="J46" i="16" s="1"/>
  <c r="C42" i="16"/>
  <c r="J42" i="16" s="1"/>
  <c r="C38" i="16"/>
  <c r="J38" i="16" s="1"/>
  <c r="C34" i="16"/>
  <c r="J34" i="16" s="1"/>
  <c r="C449" i="16"/>
  <c r="J449" i="16" s="1"/>
  <c r="C445" i="16"/>
  <c r="J445" i="16" s="1"/>
  <c r="C441" i="16"/>
  <c r="J441" i="16" s="1"/>
  <c r="C437" i="16"/>
  <c r="J437" i="16" s="1"/>
  <c r="C369" i="16"/>
  <c r="J369" i="16" s="1"/>
  <c r="C365" i="16"/>
  <c r="J365" i="16" s="1"/>
  <c r="C361" i="16"/>
  <c r="J361" i="16" s="1"/>
  <c r="C357" i="16"/>
  <c r="J357" i="16" s="1"/>
  <c r="C289" i="16"/>
  <c r="J289" i="16" s="1"/>
  <c r="C285" i="16"/>
  <c r="J285" i="16" s="1"/>
  <c r="C281" i="16"/>
  <c r="J281" i="16" s="1"/>
  <c r="C277" i="16"/>
  <c r="J277" i="16" s="1"/>
  <c r="C209" i="16"/>
  <c r="J209" i="16" s="1"/>
  <c r="C205" i="16"/>
  <c r="J205" i="16" s="1"/>
  <c r="C201" i="16"/>
  <c r="J201" i="16" s="1"/>
  <c r="C197" i="16"/>
  <c r="J197" i="16" s="1"/>
  <c r="C129" i="16"/>
  <c r="J129" i="16" s="1"/>
  <c r="C125" i="16"/>
  <c r="J125" i="16" s="1"/>
  <c r="C121" i="16"/>
  <c r="J121" i="16" s="1"/>
  <c r="C117" i="16"/>
  <c r="J117" i="16" s="1"/>
  <c r="C49" i="16"/>
  <c r="J49" i="16" s="1"/>
  <c r="C45" i="16"/>
  <c r="J45" i="16" s="1"/>
  <c r="C41" i="16"/>
  <c r="J41" i="16" s="1"/>
  <c r="C37" i="16"/>
  <c r="J37" i="16" s="1"/>
  <c r="C436" i="16"/>
  <c r="J436" i="16" s="1"/>
  <c r="C356" i="16"/>
  <c r="J356" i="16" s="1"/>
  <c r="C276" i="16"/>
  <c r="J276" i="16" s="1"/>
  <c r="C196" i="16"/>
  <c r="J196" i="16" s="1"/>
  <c r="C116" i="16"/>
  <c r="J116" i="16" s="1"/>
  <c r="C36" i="16"/>
  <c r="J36" i="16" s="1"/>
  <c r="C368" i="16"/>
  <c r="J368" i="16" s="1"/>
  <c r="C208" i="16"/>
  <c r="J208" i="16" s="1"/>
  <c r="C128" i="16"/>
  <c r="J128" i="16" s="1"/>
  <c r="C364" i="16"/>
  <c r="J364" i="16" s="1"/>
  <c r="C204" i="16"/>
  <c r="J204" i="16" s="1"/>
  <c r="C44" i="16"/>
  <c r="J44" i="16" s="1"/>
  <c r="C440" i="16"/>
  <c r="J440" i="16" s="1"/>
  <c r="C280" i="16"/>
  <c r="J280" i="16" s="1"/>
  <c r="C120" i="16"/>
  <c r="J120" i="16" s="1"/>
  <c r="C448" i="16"/>
  <c r="J448" i="16" s="1"/>
  <c r="C288" i="16"/>
  <c r="J288" i="16" s="1"/>
  <c r="C48" i="16"/>
  <c r="J48" i="16" s="1"/>
  <c r="C444" i="16"/>
  <c r="J444" i="16" s="1"/>
  <c r="C284" i="16"/>
  <c r="J284" i="16" s="1"/>
  <c r="C124" i="16"/>
  <c r="J124" i="16" s="1"/>
  <c r="C360" i="16"/>
  <c r="J360" i="16" s="1"/>
  <c r="C200" i="16"/>
  <c r="J200" i="16" s="1"/>
  <c r="C40" i="16"/>
  <c r="J40" i="16" s="1"/>
  <c r="D422" i="16"/>
  <c r="K422" i="16" s="1"/>
  <c r="D358" i="16"/>
  <c r="K358" i="16" s="1"/>
  <c r="D454" i="16"/>
  <c r="K454" i="16" s="1"/>
  <c r="D390" i="16"/>
  <c r="K390" i="16" s="1"/>
  <c r="D326" i="16"/>
  <c r="K326" i="16" s="1"/>
  <c r="D438" i="16"/>
  <c r="K438" i="16" s="1"/>
  <c r="D310" i="16"/>
  <c r="K310" i="16" s="1"/>
  <c r="D246" i="16"/>
  <c r="K246" i="16" s="1"/>
  <c r="D182" i="16"/>
  <c r="K182" i="16" s="1"/>
  <c r="D118" i="16"/>
  <c r="K118" i="16" s="1"/>
  <c r="D54" i="16"/>
  <c r="K54" i="16" s="1"/>
  <c r="D406" i="16"/>
  <c r="K406" i="16" s="1"/>
  <c r="D294" i="16"/>
  <c r="K294" i="16" s="1"/>
  <c r="D230" i="16"/>
  <c r="K230" i="16" s="1"/>
  <c r="D166" i="16"/>
  <c r="K166" i="16" s="1"/>
  <c r="D102" i="16"/>
  <c r="K102" i="16" s="1"/>
  <c r="D38" i="16"/>
  <c r="K38" i="16" s="1"/>
  <c r="D374" i="16"/>
  <c r="K374" i="16" s="1"/>
  <c r="D278" i="16"/>
  <c r="K278" i="16" s="1"/>
  <c r="D214" i="16"/>
  <c r="K214" i="16" s="1"/>
  <c r="D150" i="16"/>
  <c r="K150" i="16" s="1"/>
  <c r="D86" i="16"/>
  <c r="K86" i="16" s="1"/>
  <c r="D22" i="16"/>
  <c r="K22" i="16" s="1"/>
  <c r="D342" i="16"/>
  <c r="K342" i="16" s="1"/>
  <c r="D70" i="16"/>
  <c r="K70" i="16" s="1"/>
  <c r="D262" i="16"/>
  <c r="K262" i="16" s="1"/>
  <c r="D6" i="16"/>
  <c r="K6" i="16" s="1"/>
  <c r="D198" i="16"/>
  <c r="K198" i="16" s="1"/>
  <c r="D470" i="16"/>
  <c r="K470" i="16" s="1"/>
  <c r="D134" i="16"/>
  <c r="K134" i="16" s="1"/>
  <c r="B481" i="16"/>
  <c r="I481" i="16" s="1"/>
  <c r="B477" i="16"/>
  <c r="I477" i="16" s="1"/>
  <c r="B473" i="16"/>
  <c r="I473" i="16" s="1"/>
  <c r="B469" i="16"/>
  <c r="I469" i="16" s="1"/>
  <c r="B465" i="16"/>
  <c r="I465" i="16" s="1"/>
  <c r="B461" i="16"/>
  <c r="I461" i="16" s="1"/>
  <c r="B457" i="16"/>
  <c r="I457" i="16" s="1"/>
  <c r="B453" i="16"/>
  <c r="I453" i="16" s="1"/>
  <c r="B449" i="16"/>
  <c r="I449" i="16" s="1"/>
  <c r="B445" i="16"/>
  <c r="I445" i="16" s="1"/>
  <c r="B441" i="16"/>
  <c r="I441" i="16" s="1"/>
  <c r="B437" i="16"/>
  <c r="I437" i="16" s="1"/>
  <c r="B433" i="16"/>
  <c r="I433" i="16" s="1"/>
  <c r="B429" i="16"/>
  <c r="I429" i="16" s="1"/>
  <c r="B425" i="16"/>
  <c r="I425" i="16" s="1"/>
  <c r="B421" i="16"/>
  <c r="I421" i="16" s="1"/>
  <c r="B417" i="16"/>
  <c r="I417" i="16" s="1"/>
  <c r="B413" i="16"/>
  <c r="I413" i="16" s="1"/>
  <c r="B409" i="16"/>
  <c r="I409" i="16" s="1"/>
  <c r="B405" i="16"/>
  <c r="I405" i="16" s="1"/>
  <c r="B241" i="16"/>
  <c r="I241" i="16" s="1"/>
  <c r="B237" i="16"/>
  <c r="I237" i="16" s="1"/>
  <c r="B233" i="16"/>
  <c r="I233" i="16" s="1"/>
  <c r="B229" i="16"/>
  <c r="I229" i="16" s="1"/>
  <c r="B225" i="16"/>
  <c r="I225" i="16" s="1"/>
  <c r="B221" i="16"/>
  <c r="I221" i="16" s="1"/>
  <c r="B217" i="16"/>
  <c r="I217" i="16" s="1"/>
  <c r="B213" i="16"/>
  <c r="I213" i="16" s="1"/>
  <c r="B209" i="16"/>
  <c r="I209" i="16" s="1"/>
  <c r="B205" i="16"/>
  <c r="I205" i="16" s="1"/>
  <c r="B201" i="16"/>
  <c r="I201" i="16" s="1"/>
  <c r="B197" i="16"/>
  <c r="I197" i="16" s="1"/>
  <c r="B193" i="16"/>
  <c r="I193" i="16" s="1"/>
  <c r="B189" i="16"/>
  <c r="I189" i="16" s="1"/>
  <c r="B185" i="16"/>
  <c r="I185" i="16" s="1"/>
  <c r="B181" i="16"/>
  <c r="I181" i="16" s="1"/>
  <c r="B177" i="16"/>
  <c r="I177" i="16" s="1"/>
  <c r="B173" i="16"/>
  <c r="I173" i="16" s="1"/>
  <c r="B169" i="16"/>
  <c r="I169" i="16" s="1"/>
  <c r="B165" i="16"/>
  <c r="I165" i="16" s="1"/>
  <c r="B480" i="16"/>
  <c r="I480" i="16" s="1"/>
  <c r="B476" i="16"/>
  <c r="I476" i="16" s="1"/>
  <c r="B472" i="16"/>
  <c r="I472" i="16" s="1"/>
  <c r="B468" i="16"/>
  <c r="I468" i="16" s="1"/>
  <c r="B464" i="16"/>
  <c r="I464" i="16" s="1"/>
  <c r="B460" i="16"/>
  <c r="I460" i="16" s="1"/>
  <c r="B456" i="16"/>
  <c r="I456" i="16" s="1"/>
  <c r="B452" i="16"/>
  <c r="I452" i="16" s="1"/>
  <c r="B448" i="16"/>
  <c r="I448" i="16" s="1"/>
  <c r="B444" i="16"/>
  <c r="I444" i="16" s="1"/>
  <c r="B440" i="16"/>
  <c r="I440" i="16" s="1"/>
  <c r="B436" i="16"/>
  <c r="I436" i="16" s="1"/>
  <c r="B432" i="16"/>
  <c r="I432" i="16" s="1"/>
  <c r="B428" i="16"/>
  <c r="I428" i="16" s="1"/>
  <c r="B424" i="16"/>
  <c r="I424" i="16" s="1"/>
  <c r="B420" i="16"/>
  <c r="I420" i="16" s="1"/>
  <c r="B416" i="16"/>
  <c r="I416" i="16" s="1"/>
  <c r="B412" i="16"/>
  <c r="I412" i="16" s="1"/>
  <c r="B408" i="16"/>
  <c r="I408" i="16" s="1"/>
  <c r="B404" i="16"/>
  <c r="I404" i="16" s="1"/>
  <c r="B240" i="16"/>
  <c r="I240" i="16" s="1"/>
  <c r="B236" i="16"/>
  <c r="I236" i="16" s="1"/>
  <c r="B232" i="16"/>
  <c r="I232" i="16" s="1"/>
  <c r="B228" i="16"/>
  <c r="I228" i="16" s="1"/>
  <c r="B224" i="16"/>
  <c r="I224" i="16" s="1"/>
  <c r="B220" i="16"/>
  <c r="I220" i="16" s="1"/>
  <c r="B216" i="16"/>
  <c r="I216" i="16" s="1"/>
  <c r="B212" i="16"/>
  <c r="I212" i="16" s="1"/>
  <c r="B208" i="16"/>
  <c r="I208" i="16" s="1"/>
  <c r="B204" i="16"/>
  <c r="I204" i="16" s="1"/>
  <c r="B200" i="16"/>
  <c r="I200" i="16" s="1"/>
  <c r="B196" i="16"/>
  <c r="I196" i="16" s="1"/>
  <c r="B192" i="16"/>
  <c r="I192" i="16" s="1"/>
  <c r="B188" i="16"/>
  <c r="I188" i="16" s="1"/>
  <c r="B184" i="16"/>
  <c r="I184" i="16" s="1"/>
  <c r="B180" i="16"/>
  <c r="I180" i="16" s="1"/>
  <c r="B176" i="16"/>
  <c r="I176" i="16" s="1"/>
  <c r="B172" i="16"/>
  <c r="I172" i="16" s="1"/>
  <c r="B168" i="16"/>
  <c r="I168" i="16" s="1"/>
  <c r="B164" i="16"/>
  <c r="I164" i="16" s="1"/>
  <c r="B479" i="16"/>
  <c r="I479" i="16" s="1"/>
  <c r="B475" i="16"/>
  <c r="I475" i="16" s="1"/>
  <c r="B471" i="16"/>
  <c r="I471" i="16" s="1"/>
  <c r="B467" i="16"/>
  <c r="I467" i="16" s="1"/>
  <c r="B463" i="16"/>
  <c r="I463" i="16" s="1"/>
  <c r="B459" i="16"/>
  <c r="I459" i="16" s="1"/>
  <c r="B455" i="16"/>
  <c r="I455" i="16" s="1"/>
  <c r="B451" i="16"/>
  <c r="I451" i="16" s="1"/>
  <c r="B447" i="16"/>
  <c r="I447" i="16" s="1"/>
  <c r="B443" i="16"/>
  <c r="I443" i="16" s="1"/>
  <c r="B439" i="16"/>
  <c r="I439" i="16" s="1"/>
  <c r="B435" i="16"/>
  <c r="I435" i="16" s="1"/>
  <c r="B431" i="16"/>
  <c r="I431" i="16" s="1"/>
  <c r="B427" i="16"/>
  <c r="I427" i="16" s="1"/>
  <c r="B423" i="16"/>
  <c r="I423" i="16" s="1"/>
  <c r="B419" i="16"/>
  <c r="I419" i="16" s="1"/>
  <c r="B415" i="16"/>
  <c r="I415" i="16" s="1"/>
  <c r="B411" i="16"/>
  <c r="I411" i="16" s="1"/>
  <c r="B407" i="16"/>
  <c r="I407" i="16" s="1"/>
  <c r="B403" i="16"/>
  <c r="I403" i="16" s="1"/>
  <c r="B239" i="16"/>
  <c r="I239" i="16" s="1"/>
  <c r="B235" i="16"/>
  <c r="I235" i="16" s="1"/>
  <c r="B231" i="16"/>
  <c r="I231" i="16" s="1"/>
  <c r="B227" i="16"/>
  <c r="I227" i="16" s="1"/>
  <c r="B223" i="16"/>
  <c r="I223" i="16" s="1"/>
  <c r="B219" i="16"/>
  <c r="I219" i="16" s="1"/>
  <c r="B215" i="16"/>
  <c r="I215" i="16" s="1"/>
  <c r="B211" i="16"/>
  <c r="I211" i="16" s="1"/>
  <c r="B207" i="16"/>
  <c r="I207" i="16" s="1"/>
  <c r="B203" i="16"/>
  <c r="I203" i="16" s="1"/>
  <c r="B199" i="16"/>
  <c r="I199" i="16" s="1"/>
  <c r="B195" i="16"/>
  <c r="I195" i="16" s="1"/>
  <c r="B191" i="16"/>
  <c r="I191" i="16" s="1"/>
  <c r="B187" i="16"/>
  <c r="I187" i="16" s="1"/>
  <c r="B183" i="16"/>
  <c r="I183" i="16" s="1"/>
  <c r="B179" i="16"/>
  <c r="I179" i="16" s="1"/>
  <c r="B175" i="16"/>
  <c r="I175" i="16" s="1"/>
  <c r="B171" i="16"/>
  <c r="I171" i="16" s="1"/>
  <c r="B167" i="16"/>
  <c r="I167" i="16" s="1"/>
  <c r="B163" i="16"/>
  <c r="I163" i="16" s="1"/>
  <c r="B478" i="16"/>
  <c r="I478" i="16" s="1"/>
  <c r="B462" i="16"/>
  <c r="I462" i="16" s="1"/>
  <c r="B446" i="16"/>
  <c r="I446" i="16" s="1"/>
  <c r="B430" i="16"/>
  <c r="I430" i="16" s="1"/>
  <c r="B414" i="16"/>
  <c r="I414" i="16" s="1"/>
  <c r="B238" i="16"/>
  <c r="I238" i="16" s="1"/>
  <c r="B222" i="16"/>
  <c r="I222" i="16" s="1"/>
  <c r="B206" i="16"/>
  <c r="I206" i="16" s="1"/>
  <c r="B190" i="16"/>
  <c r="I190" i="16" s="1"/>
  <c r="B174" i="16"/>
  <c r="I174" i="16" s="1"/>
  <c r="B474" i="16"/>
  <c r="I474" i="16" s="1"/>
  <c r="B458" i="16"/>
  <c r="I458" i="16" s="1"/>
  <c r="B442" i="16"/>
  <c r="I442" i="16" s="1"/>
  <c r="B426" i="16"/>
  <c r="I426" i="16" s="1"/>
  <c r="B410" i="16"/>
  <c r="I410" i="16" s="1"/>
  <c r="B234" i="16"/>
  <c r="I234" i="16" s="1"/>
  <c r="B218" i="16"/>
  <c r="I218" i="16" s="1"/>
  <c r="B202" i="16"/>
  <c r="I202" i="16" s="1"/>
  <c r="B186" i="16"/>
  <c r="I186" i="16" s="1"/>
  <c r="B170" i="16"/>
  <c r="I170" i="16" s="1"/>
  <c r="B466" i="16"/>
  <c r="I466" i="16" s="1"/>
  <c r="B470" i="16"/>
  <c r="I470" i="16" s="1"/>
  <c r="B454" i="16"/>
  <c r="I454" i="16" s="1"/>
  <c r="B438" i="16"/>
  <c r="I438" i="16" s="1"/>
  <c r="B422" i="16"/>
  <c r="I422" i="16" s="1"/>
  <c r="B406" i="16"/>
  <c r="I406" i="16" s="1"/>
  <c r="B230" i="16"/>
  <c r="I230" i="16" s="1"/>
  <c r="B214" i="16"/>
  <c r="I214" i="16" s="1"/>
  <c r="B198" i="16"/>
  <c r="I198" i="16" s="1"/>
  <c r="B182" i="16"/>
  <c r="I182" i="16" s="1"/>
  <c r="B166" i="16"/>
  <c r="I166" i="16" s="1"/>
  <c r="B450" i="16"/>
  <c r="I450" i="16" s="1"/>
  <c r="B434" i="16"/>
  <c r="I434" i="16" s="1"/>
  <c r="B210" i="16"/>
  <c r="I210" i="16" s="1"/>
  <c r="B402" i="16"/>
  <c r="I402" i="16" s="1"/>
  <c r="B162" i="16"/>
  <c r="I162" i="16" s="1"/>
  <c r="B418" i="16"/>
  <c r="I418" i="16" s="1"/>
  <c r="B194" i="16"/>
  <c r="I194" i="16" s="1"/>
  <c r="B178" i="16"/>
  <c r="I178" i="16" s="1"/>
  <c r="B226" i="16"/>
  <c r="I226" i="16" s="1"/>
  <c r="B401" i="16"/>
  <c r="I401" i="16" s="1"/>
  <c r="B397" i="16"/>
  <c r="I397" i="16" s="1"/>
  <c r="B393" i="16"/>
  <c r="I393" i="16" s="1"/>
  <c r="B389" i="16"/>
  <c r="I389" i="16" s="1"/>
  <c r="B385" i="16"/>
  <c r="I385" i="16" s="1"/>
  <c r="B381" i="16"/>
  <c r="I381" i="16" s="1"/>
  <c r="B377" i="16"/>
  <c r="I377" i="16" s="1"/>
  <c r="B373" i="16"/>
  <c r="I373" i="16" s="1"/>
  <c r="B369" i="16"/>
  <c r="I369" i="16" s="1"/>
  <c r="B365" i="16"/>
  <c r="I365" i="16" s="1"/>
  <c r="B361" i="16"/>
  <c r="I361" i="16" s="1"/>
  <c r="B357" i="16"/>
  <c r="I357" i="16" s="1"/>
  <c r="B353" i="16"/>
  <c r="I353" i="16" s="1"/>
  <c r="B349" i="16"/>
  <c r="I349" i="16" s="1"/>
  <c r="B345" i="16"/>
  <c r="I345" i="16" s="1"/>
  <c r="B341" i="16"/>
  <c r="I341" i="16" s="1"/>
  <c r="B337" i="16"/>
  <c r="I337" i="16" s="1"/>
  <c r="B333" i="16"/>
  <c r="I333" i="16" s="1"/>
  <c r="B329" i="16"/>
  <c r="I329" i="16" s="1"/>
  <c r="B325" i="16"/>
  <c r="I325" i="16" s="1"/>
  <c r="B161" i="16"/>
  <c r="I161" i="16" s="1"/>
  <c r="B157" i="16"/>
  <c r="I157" i="16" s="1"/>
  <c r="B153" i="16"/>
  <c r="I153" i="16" s="1"/>
  <c r="B149" i="16"/>
  <c r="I149" i="16" s="1"/>
  <c r="B145" i="16"/>
  <c r="I145" i="16" s="1"/>
  <c r="B141" i="16"/>
  <c r="I141" i="16" s="1"/>
  <c r="B137" i="16"/>
  <c r="I137" i="16" s="1"/>
  <c r="B133" i="16"/>
  <c r="I133" i="16" s="1"/>
  <c r="B129" i="16"/>
  <c r="I129" i="16" s="1"/>
  <c r="B125" i="16"/>
  <c r="I125" i="16" s="1"/>
  <c r="B121" i="16"/>
  <c r="I121" i="16" s="1"/>
  <c r="B117" i="16"/>
  <c r="I117" i="16" s="1"/>
  <c r="B113" i="16"/>
  <c r="I113" i="16" s="1"/>
  <c r="B109" i="16"/>
  <c r="I109" i="16" s="1"/>
  <c r="B105" i="16"/>
  <c r="I105" i="16" s="1"/>
  <c r="B101" i="16"/>
  <c r="I101" i="16" s="1"/>
  <c r="B97" i="16"/>
  <c r="I97" i="16" s="1"/>
  <c r="B93" i="16"/>
  <c r="I93" i="16" s="1"/>
  <c r="B89" i="16"/>
  <c r="I89" i="16" s="1"/>
  <c r="B85" i="16"/>
  <c r="I85" i="16" s="1"/>
  <c r="B400" i="16"/>
  <c r="I400" i="16" s="1"/>
  <c r="B396" i="16"/>
  <c r="I396" i="16" s="1"/>
  <c r="B392" i="16"/>
  <c r="I392" i="16" s="1"/>
  <c r="B388" i="16"/>
  <c r="I388" i="16" s="1"/>
  <c r="B384" i="16"/>
  <c r="I384" i="16" s="1"/>
  <c r="B380" i="16"/>
  <c r="I380" i="16" s="1"/>
  <c r="B376" i="16"/>
  <c r="I376" i="16" s="1"/>
  <c r="B372" i="16"/>
  <c r="I372" i="16" s="1"/>
  <c r="B368" i="16"/>
  <c r="I368" i="16" s="1"/>
  <c r="B364" i="16"/>
  <c r="I364" i="16" s="1"/>
  <c r="B360" i="16"/>
  <c r="I360" i="16" s="1"/>
  <c r="B356" i="16"/>
  <c r="I356" i="16" s="1"/>
  <c r="B352" i="16"/>
  <c r="I352" i="16" s="1"/>
  <c r="B348" i="16"/>
  <c r="I348" i="16" s="1"/>
  <c r="B344" i="16"/>
  <c r="I344" i="16" s="1"/>
  <c r="B340" i="16"/>
  <c r="I340" i="16" s="1"/>
  <c r="B336" i="16"/>
  <c r="I336" i="16" s="1"/>
  <c r="B332" i="16"/>
  <c r="I332" i="16" s="1"/>
  <c r="B328" i="16"/>
  <c r="I328" i="16" s="1"/>
  <c r="B324" i="16"/>
  <c r="I324" i="16" s="1"/>
  <c r="B160" i="16"/>
  <c r="I160" i="16" s="1"/>
  <c r="B156" i="16"/>
  <c r="I156" i="16" s="1"/>
  <c r="B152" i="16"/>
  <c r="I152" i="16" s="1"/>
  <c r="B148" i="16"/>
  <c r="I148" i="16" s="1"/>
  <c r="B144" i="16"/>
  <c r="I144" i="16" s="1"/>
  <c r="B140" i="16"/>
  <c r="I140" i="16" s="1"/>
  <c r="B136" i="16"/>
  <c r="I136" i="16" s="1"/>
  <c r="B132" i="16"/>
  <c r="I132" i="16" s="1"/>
  <c r="B128" i="16"/>
  <c r="I128" i="16" s="1"/>
  <c r="B124" i="16"/>
  <c r="I124" i="16" s="1"/>
  <c r="B120" i="16"/>
  <c r="I120" i="16" s="1"/>
  <c r="B116" i="16"/>
  <c r="I116" i="16" s="1"/>
  <c r="B112" i="16"/>
  <c r="I112" i="16" s="1"/>
  <c r="B108" i="16"/>
  <c r="I108" i="16" s="1"/>
  <c r="B104" i="16"/>
  <c r="I104" i="16" s="1"/>
  <c r="B100" i="16"/>
  <c r="I100" i="16" s="1"/>
  <c r="B96" i="16"/>
  <c r="I96" i="16" s="1"/>
  <c r="B92" i="16"/>
  <c r="I92" i="16" s="1"/>
  <c r="B88" i="16"/>
  <c r="I88" i="16" s="1"/>
  <c r="B84" i="16"/>
  <c r="I84" i="16" s="1"/>
  <c r="B399" i="16"/>
  <c r="I399" i="16" s="1"/>
  <c r="B395" i="16"/>
  <c r="I395" i="16" s="1"/>
  <c r="B391" i="16"/>
  <c r="I391" i="16" s="1"/>
  <c r="B387" i="16"/>
  <c r="I387" i="16" s="1"/>
  <c r="B383" i="16"/>
  <c r="I383" i="16" s="1"/>
  <c r="B379" i="16"/>
  <c r="I379" i="16" s="1"/>
  <c r="B375" i="16"/>
  <c r="I375" i="16" s="1"/>
  <c r="B371" i="16"/>
  <c r="I371" i="16" s="1"/>
  <c r="B367" i="16"/>
  <c r="I367" i="16" s="1"/>
  <c r="B363" i="16"/>
  <c r="I363" i="16" s="1"/>
  <c r="B359" i="16"/>
  <c r="I359" i="16" s="1"/>
  <c r="B355" i="16"/>
  <c r="I355" i="16" s="1"/>
  <c r="B351" i="16"/>
  <c r="I351" i="16" s="1"/>
  <c r="B347" i="16"/>
  <c r="I347" i="16" s="1"/>
  <c r="B343" i="16"/>
  <c r="I343" i="16" s="1"/>
  <c r="B339" i="16"/>
  <c r="I339" i="16" s="1"/>
  <c r="B335" i="16"/>
  <c r="I335" i="16" s="1"/>
  <c r="B331" i="16"/>
  <c r="I331" i="16" s="1"/>
  <c r="B327" i="16"/>
  <c r="I327" i="16" s="1"/>
  <c r="B323" i="16"/>
  <c r="I323" i="16" s="1"/>
  <c r="B159" i="16"/>
  <c r="I159" i="16" s="1"/>
  <c r="B155" i="16"/>
  <c r="I155" i="16" s="1"/>
  <c r="B151" i="16"/>
  <c r="I151" i="16" s="1"/>
  <c r="B147" i="16"/>
  <c r="I147" i="16" s="1"/>
  <c r="B143" i="16"/>
  <c r="I143" i="16" s="1"/>
  <c r="B139" i="16"/>
  <c r="I139" i="16" s="1"/>
  <c r="B135" i="16"/>
  <c r="I135" i="16" s="1"/>
  <c r="B131" i="16"/>
  <c r="I131" i="16" s="1"/>
  <c r="B127" i="16"/>
  <c r="I127" i="16" s="1"/>
  <c r="B123" i="16"/>
  <c r="I123" i="16" s="1"/>
  <c r="B119" i="16"/>
  <c r="I119" i="16" s="1"/>
  <c r="B115" i="16"/>
  <c r="I115" i="16" s="1"/>
  <c r="B111" i="16"/>
  <c r="I111" i="16" s="1"/>
  <c r="B107" i="16"/>
  <c r="I107" i="16" s="1"/>
  <c r="B103" i="16"/>
  <c r="I103" i="16" s="1"/>
  <c r="B99" i="16"/>
  <c r="I99" i="16" s="1"/>
  <c r="B95" i="16"/>
  <c r="I95" i="16" s="1"/>
  <c r="B91" i="16"/>
  <c r="I91" i="16" s="1"/>
  <c r="B87" i="16"/>
  <c r="I87" i="16" s="1"/>
  <c r="B83" i="16"/>
  <c r="I83" i="16" s="1"/>
  <c r="B398" i="16"/>
  <c r="I398" i="16" s="1"/>
  <c r="B382" i="16"/>
  <c r="I382" i="16" s="1"/>
  <c r="B366" i="16"/>
  <c r="I366" i="16" s="1"/>
  <c r="B350" i="16"/>
  <c r="I350" i="16" s="1"/>
  <c r="B334" i="16"/>
  <c r="I334" i="16" s="1"/>
  <c r="B158" i="16"/>
  <c r="I158" i="16" s="1"/>
  <c r="B142" i="16"/>
  <c r="I142" i="16" s="1"/>
  <c r="B126" i="16"/>
  <c r="I126" i="16" s="1"/>
  <c r="B110" i="16"/>
  <c r="I110" i="16" s="1"/>
  <c r="B94" i="16"/>
  <c r="I94" i="16" s="1"/>
  <c r="B394" i="16"/>
  <c r="I394" i="16" s="1"/>
  <c r="B378" i="16"/>
  <c r="I378" i="16" s="1"/>
  <c r="B362" i="16"/>
  <c r="I362" i="16" s="1"/>
  <c r="B346" i="16"/>
  <c r="I346" i="16" s="1"/>
  <c r="B330" i="16"/>
  <c r="I330" i="16" s="1"/>
  <c r="B154" i="16"/>
  <c r="I154" i="16" s="1"/>
  <c r="B138" i="16"/>
  <c r="I138" i="16" s="1"/>
  <c r="B122" i="16"/>
  <c r="I122" i="16" s="1"/>
  <c r="B106" i="16"/>
  <c r="I106" i="16" s="1"/>
  <c r="B90" i="16"/>
  <c r="I90" i="16" s="1"/>
  <c r="B390" i="16"/>
  <c r="I390" i="16" s="1"/>
  <c r="B374" i="16"/>
  <c r="I374" i="16" s="1"/>
  <c r="B358" i="16"/>
  <c r="I358" i="16" s="1"/>
  <c r="B342" i="16"/>
  <c r="I342" i="16" s="1"/>
  <c r="B326" i="16"/>
  <c r="I326" i="16" s="1"/>
  <c r="B150" i="16"/>
  <c r="I150" i="16" s="1"/>
  <c r="B134" i="16"/>
  <c r="I134" i="16" s="1"/>
  <c r="B118" i="16"/>
  <c r="I118" i="16" s="1"/>
  <c r="B102" i="16"/>
  <c r="I102" i="16" s="1"/>
  <c r="B86" i="16"/>
  <c r="I86" i="16" s="1"/>
  <c r="B386" i="16"/>
  <c r="I386" i="16" s="1"/>
  <c r="B322" i="16"/>
  <c r="I322" i="16" s="1"/>
  <c r="B98" i="16"/>
  <c r="I98" i="16" s="1"/>
  <c r="B354" i="16"/>
  <c r="I354" i="16" s="1"/>
  <c r="B130" i="16"/>
  <c r="I130" i="16" s="1"/>
  <c r="B370" i="16"/>
  <c r="I370" i="16" s="1"/>
  <c r="B146" i="16"/>
  <c r="I146" i="16" s="1"/>
  <c r="B82" i="16"/>
  <c r="I82" i="16" s="1"/>
  <c r="B338" i="16"/>
  <c r="I338" i="16" s="1"/>
  <c r="B114" i="16"/>
  <c r="I114" i="16" s="1"/>
  <c r="B321" i="16"/>
  <c r="I321" i="16" s="1"/>
  <c r="B317" i="16"/>
  <c r="I317" i="16" s="1"/>
  <c r="B313" i="16"/>
  <c r="I313" i="16" s="1"/>
  <c r="B309" i="16"/>
  <c r="I309" i="16" s="1"/>
  <c r="B305" i="16"/>
  <c r="I305" i="16" s="1"/>
  <c r="B301" i="16"/>
  <c r="I301" i="16" s="1"/>
  <c r="B297" i="16"/>
  <c r="I297" i="16" s="1"/>
  <c r="B293" i="16"/>
  <c r="I293" i="16" s="1"/>
  <c r="B289" i="16"/>
  <c r="I289" i="16" s="1"/>
  <c r="B285" i="16"/>
  <c r="I285" i="16" s="1"/>
  <c r="B281" i="16"/>
  <c r="I281" i="16" s="1"/>
  <c r="B277" i="16"/>
  <c r="I277" i="16" s="1"/>
  <c r="B273" i="16"/>
  <c r="I273" i="16" s="1"/>
  <c r="B269" i="16"/>
  <c r="I269" i="16" s="1"/>
  <c r="B265" i="16"/>
  <c r="I265" i="16" s="1"/>
  <c r="B261" i="16"/>
  <c r="I261" i="16" s="1"/>
  <c r="B257" i="16"/>
  <c r="I257" i="16" s="1"/>
  <c r="B253" i="16"/>
  <c r="I253" i="16" s="1"/>
  <c r="B249" i="16"/>
  <c r="I249" i="16" s="1"/>
  <c r="B245" i="16"/>
  <c r="I245" i="16" s="1"/>
  <c r="B81" i="16"/>
  <c r="I81" i="16" s="1"/>
  <c r="B77" i="16"/>
  <c r="I77" i="16" s="1"/>
  <c r="B73" i="16"/>
  <c r="I73" i="16" s="1"/>
  <c r="B69" i="16"/>
  <c r="I69" i="16" s="1"/>
  <c r="B65" i="16"/>
  <c r="I65" i="16" s="1"/>
  <c r="B61" i="16"/>
  <c r="I61" i="16" s="1"/>
  <c r="B57" i="16"/>
  <c r="I57" i="16" s="1"/>
  <c r="B53" i="16"/>
  <c r="I53" i="16" s="1"/>
  <c r="B49" i="16"/>
  <c r="I49" i="16" s="1"/>
  <c r="B45" i="16"/>
  <c r="I45" i="16" s="1"/>
  <c r="B41" i="16"/>
  <c r="I41" i="16" s="1"/>
  <c r="B37" i="16"/>
  <c r="I37" i="16" s="1"/>
  <c r="B33" i="16"/>
  <c r="I33" i="16" s="1"/>
  <c r="B29" i="16"/>
  <c r="I29" i="16" s="1"/>
  <c r="B25" i="16"/>
  <c r="I25" i="16" s="1"/>
  <c r="B21" i="16"/>
  <c r="I21" i="16" s="1"/>
  <c r="B17" i="16"/>
  <c r="I17" i="16" s="1"/>
  <c r="B13" i="16"/>
  <c r="I13" i="16" s="1"/>
  <c r="B320" i="16"/>
  <c r="I320" i="16" s="1"/>
  <c r="B316" i="16"/>
  <c r="I316" i="16" s="1"/>
  <c r="B312" i="16"/>
  <c r="I312" i="16" s="1"/>
  <c r="B308" i="16"/>
  <c r="I308" i="16" s="1"/>
  <c r="B304" i="16"/>
  <c r="I304" i="16" s="1"/>
  <c r="B300" i="16"/>
  <c r="I300" i="16" s="1"/>
  <c r="B296" i="16"/>
  <c r="I296" i="16" s="1"/>
  <c r="B292" i="16"/>
  <c r="I292" i="16" s="1"/>
  <c r="B288" i="16"/>
  <c r="I288" i="16" s="1"/>
  <c r="B284" i="16"/>
  <c r="I284" i="16" s="1"/>
  <c r="B280" i="16"/>
  <c r="I280" i="16" s="1"/>
  <c r="B276" i="16"/>
  <c r="I276" i="16" s="1"/>
  <c r="B272" i="16"/>
  <c r="I272" i="16" s="1"/>
  <c r="B268" i="16"/>
  <c r="I268" i="16" s="1"/>
  <c r="B264" i="16"/>
  <c r="I264" i="16" s="1"/>
  <c r="B260" i="16"/>
  <c r="I260" i="16" s="1"/>
  <c r="B256" i="16"/>
  <c r="I256" i="16" s="1"/>
  <c r="B252" i="16"/>
  <c r="I252" i="16" s="1"/>
  <c r="B248" i="16"/>
  <c r="I248" i="16" s="1"/>
  <c r="B244" i="16"/>
  <c r="I244" i="16" s="1"/>
  <c r="B80" i="16"/>
  <c r="I80" i="16" s="1"/>
  <c r="B76" i="16"/>
  <c r="I76" i="16" s="1"/>
  <c r="B72" i="16"/>
  <c r="I72" i="16" s="1"/>
  <c r="B68" i="16"/>
  <c r="I68" i="16" s="1"/>
  <c r="B64" i="16"/>
  <c r="I64" i="16" s="1"/>
  <c r="B60" i="16"/>
  <c r="I60" i="16" s="1"/>
  <c r="B56" i="16"/>
  <c r="I56" i="16" s="1"/>
  <c r="B52" i="16"/>
  <c r="I52" i="16" s="1"/>
  <c r="B48" i="16"/>
  <c r="I48" i="16" s="1"/>
  <c r="B44" i="16"/>
  <c r="I44" i="16" s="1"/>
  <c r="B40" i="16"/>
  <c r="I40" i="16" s="1"/>
  <c r="B36" i="16"/>
  <c r="I36" i="16" s="1"/>
  <c r="B32" i="16"/>
  <c r="I32" i="16" s="1"/>
  <c r="B28" i="16"/>
  <c r="I28" i="16" s="1"/>
  <c r="B24" i="16"/>
  <c r="I24" i="16" s="1"/>
  <c r="B20" i="16"/>
  <c r="I20" i="16" s="1"/>
  <c r="B16" i="16"/>
  <c r="I16" i="16" s="1"/>
  <c r="B12" i="16"/>
  <c r="I12" i="16" s="1"/>
  <c r="B319" i="16"/>
  <c r="I319" i="16" s="1"/>
  <c r="B315" i="16"/>
  <c r="I315" i="16" s="1"/>
  <c r="B311" i="16"/>
  <c r="I311" i="16" s="1"/>
  <c r="B307" i="16"/>
  <c r="I307" i="16" s="1"/>
  <c r="B303" i="16"/>
  <c r="I303" i="16" s="1"/>
  <c r="B299" i="16"/>
  <c r="I299" i="16" s="1"/>
  <c r="B295" i="16"/>
  <c r="I295" i="16" s="1"/>
  <c r="B291" i="16"/>
  <c r="I291" i="16" s="1"/>
  <c r="B287" i="16"/>
  <c r="I287" i="16" s="1"/>
  <c r="B283" i="16"/>
  <c r="I283" i="16" s="1"/>
  <c r="B279" i="16"/>
  <c r="I279" i="16" s="1"/>
  <c r="B275" i="16"/>
  <c r="I275" i="16" s="1"/>
  <c r="B271" i="16"/>
  <c r="I271" i="16" s="1"/>
  <c r="B267" i="16"/>
  <c r="I267" i="16" s="1"/>
  <c r="B263" i="16"/>
  <c r="I263" i="16" s="1"/>
  <c r="B259" i="16"/>
  <c r="I259" i="16" s="1"/>
  <c r="B255" i="16"/>
  <c r="I255" i="16" s="1"/>
  <c r="B251" i="16"/>
  <c r="I251" i="16" s="1"/>
  <c r="B247" i="16"/>
  <c r="I247" i="16" s="1"/>
  <c r="B243" i="16"/>
  <c r="I243" i="16" s="1"/>
  <c r="B79" i="16"/>
  <c r="I79" i="16" s="1"/>
  <c r="B75" i="16"/>
  <c r="I75" i="16" s="1"/>
  <c r="B71" i="16"/>
  <c r="I71" i="16" s="1"/>
  <c r="B67" i="16"/>
  <c r="I67" i="16" s="1"/>
  <c r="B63" i="16"/>
  <c r="I63" i="16" s="1"/>
  <c r="B59" i="16"/>
  <c r="I59" i="16" s="1"/>
  <c r="B55" i="16"/>
  <c r="I55" i="16" s="1"/>
  <c r="B51" i="16"/>
  <c r="I51" i="16" s="1"/>
  <c r="B47" i="16"/>
  <c r="I47" i="16" s="1"/>
  <c r="B43" i="16"/>
  <c r="I43" i="16" s="1"/>
  <c r="B39" i="16"/>
  <c r="I39" i="16" s="1"/>
  <c r="B35" i="16"/>
  <c r="I35" i="16" s="1"/>
  <c r="B31" i="16"/>
  <c r="I31" i="16" s="1"/>
  <c r="B27" i="16"/>
  <c r="I27" i="16" s="1"/>
  <c r="B23" i="16"/>
  <c r="I23" i="16" s="1"/>
  <c r="B19" i="16"/>
  <c r="I19" i="16" s="1"/>
  <c r="B15" i="16"/>
  <c r="I15" i="16" s="1"/>
  <c r="B11" i="16"/>
  <c r="I11" i="16" s="1"/>
  <c r="B318" i="16"/>
  <c r="I318" i="16" s="1"/>
  <c r="B302" i="16"/>
  <c r="I302" i="16" s="1"/>
  <c r="B286" i="16"/>
  <c r="I286" i="16" s="1"/>
  <c r="B270" i="16"/>
  <c r="I270" i="16" s="1"/>
  <c r="B254" i="16"/>
  <c r="I254" i="16" s="1"/>
  <c r="B78" i="16"/>
  <c r="I78" i="16" s="1"/>
  <c r="B62" i="16"/>
  <c r="I62" i="16" s="1"/>
  <c r="B46" i="16"/>
  <c r="I46" i="16" s="1"/>
  <c r="B30" i="16"/>
  <c r="I30" i="16" s="1"/>
  <c r="B14" i="16"/>
  <c r="I14" i="16" s="1"/>
  <c r="B7" i="16"/>
  <c r="I7" i="16" s="1"/>
  <c r="B3" i="16"/>
  <c r="I3" i="16" s="1"/>
  <c r="B314" i="16"/>
  <c r="I314" i="16" s="1"/>
  <c r="B298" i="16"/>
  <c r="I298" i="16" s="1"/>
  <c r="B282" i="16"/>
  <c r="I282" i="16" s="1"/>
  <c r="B266" i="16"/>
  <c r="I266" i="16" s="1"/>
  <c r="B250" i="16"/>
  <c r="I250" i="16" s="1"/>
  <c r="B74" i="16"/>
  <c r="I74" i="16" s="1"/>
  <c r="B58" i="16"/>
  <c r="I58" i="16" s="1"/>
  <c r="B42" i="16"/>
  <c r="I42" i="16" s="1"/>
  <c r="B26" i="16"/>
  <c r="I26" i="16" s="1"/>
  <c r="B10" i="16"/>
  <c r="I10" i="16" s="1"/>
  <c r="B6" i="16"/>
  <c r="I6" i="16" s="1"/>
  <c r="B2" i="16"/>
  <c r="I2" i="16" s="1"/>
  <c r="B310" i="16"/>
  <c r="I310" i="16" s="1"/>
  <c r="B294" i="16"/>
  <c r="I294" i="16" s="1"/>
  <c r="B278" i="16"/>
  <c r="I278" i="16" s="1"/>
  <c r="B262" i="16"/>
  <c r="I262" i="16" s="1"/>
  <c r="B246" i="16"/>
  <c r="I246" i="16" s="1"/>
  <c r="B70" i="16"/>
  <c r="I70" i="16" s="1"/>
  <c r="B54" i="16"/>
  <c r="I54" i="16" s="1"/>
  <c r="B38" i="16"/>
  <c r="I38" i="16" s="1"/>
  <c r="B22" i="16"/>
  <c r="I22" i="16" s="1"/>
  <c r="B9" i="16"/>
  <c r="I9" i="16" s="1"/>
  <c r="B5" i="16"/>
  <c r="I5" i="16" s="1"/>
  <c r="B274" i="16"/>
  <c r="I274" i="16" s="1"/>
  <c r="B50" i="16"/>
  <c r="I50" i="16" s="1"/>
  <c r="B4" i="16"/>
  <c r="I4" i="16" s="1"/>
  <c r="B242" i="16"/>
  <c r="I242" i="16" s="1"/>
  <c r="B18" i="16"/>
  <c r="I18" i="16" s="1"/>
  <c r="B290" i="16"/>
  <c r="I290" i="16" s="1"/>
  <c r="B8" i="16"/>
  <c r="I8" i="16" s="1"/>
  <c r="B258" i="16"/>
  <c r="I258" i="16" s="1"/>
  <c r="B34" i="16"/>
  <c r="I34" i="16" s="1"/>
  <c r="B306" i="16"/>
  <c r="I306" i="16" s="1"/>
  <c r="B66" i="16"/>
  <c r="I66" i="16" s="1"/>
  <c r="AI2" i="2"/>
  <c r="C463" i="16"/>
  <c r="J463" i="16" s="1"/>
  <c r="C459" i="16"/>
  <c r="J459" i="16" s="1"/>
  <c r="C455" i="16"/>
  <c r="J455" i="16" s="1"/>
  <c r="C451" i="16"/>
  <c r="J451" i="16" s="1"/>
  <c r="C383" i="16"/>
  <c r="J383" i="16" s="1"/>
  <c r="C379" i="16"/>
  <c r="J379" i="16" s="1"/>
  <c r="C375" i="16"/>
  <c r="J375" i="16" s="1"/>
  <c r="C371" i="16"/>
  <c r="J371" i="16" s="1"/>
  <c r="C303" i="16"/>
  <c r="J303" i="16" s="1"/>
  <c r="C299" i="16"/>
  <c r="J299" i="16" s="1"/>
  <c r="C295" i="16"/>
  <c r="J295" i="16" s="1"/>
  <c r="C291" i="16"/>
  <c r="J291" i="16" s="1"/>
  <c r="C223" i="16"/>
  <c r="J223" i="16" s="1"/>
  <c r="C219" i="16"/>
  <c r="J219" i="16" s="1"/>
  <c r="C215" i="16"/>
  <c r="J215" i="16" s="1"/>
  <c r="C211" i="16"/>
  <c r="J211" i="16" s="1"/>
  <c r="C143" i="16"/>
  <c r="J143" i="16" s="1"/>
  <c r="C139" i="16"/>
  <c r="J139" i="16" s="1"/>
  <c r="C135" i="16"/>
  <c r="J135" i="16" s="1"/>
  <c r="C131" i="16"/>
  <c r="J131" i="16" s="1"/>
  <c r="C63" i="16"/>
  <c r="J63" i="16" s="1"/>
  <c r="C59" i="16"/>
  <c r="J59" i="16" s="1"/>
  <c r="C55" i="16"/>
  <c r="J55" i="16" s="1"/>
  <c r="C51" i="16"/>
  <c r="J51" i="16" s="1"/>
  <c r="C462" i="16"/>
  <c r="J462" i="16" s="1"/>
  <c r="C458" i="16"/>
  <c r="J458" i="16" s="1"/>
  <c r="C454" i="16"/>
  <c r="J454" i="16" s="1"/>
  <c r="C450" i="16"/>
  <c r="J450" i="16" s="1"/>
  <c r="C382" i="16"/>
  <c r="J382" i="16" s="1"/>
  <c r="C378" i="16"/>
  <c r="J378" i="16" s="1"/>
  <c r="C374" i="16"/>
  <c r="J374" i="16" s="1"/>
  <c r="C370" i="16"/>
  <c r="J370" i="16" s="1"/>
  <c r="C302" i="16"/>
  <c r="J302" i="16" s="1"/>
  <c r="C298" i="16"/>
  <c r="J298" i="16" s="1"/>
  <c r="C294" i="16"/>
  <c r="J294" i="16" s="1"/>
  <c r="C290" i="16"/>
  <c r="J290" i="16" s="1"/>
  <c r="C222" i="16"/>
  <c r="J222" i="16" s="1"/>
  <c r="C218" i="16"/>
  <c r="J218" i="16" s="1"/>
  <c r="C214" i="16"/>
  <c r="J214" i="16" s="1"/>
  <c r="C210" i="16"/>
  <c r="J210" i="16" s="1"/>
  <c r="C142" i="16"/>
  <c r="J142" i="16" s="1"/>
  <c r="C138" i="16"/>
  <c r="J138" i="16" s="1"/>
  <c r="C134" i="16"/>
  <c r="J134" i="16" s="1"/>
  <c r="C130" i="16"/>
  <c r="J130" i="16" s="1"/>
  <c r="C62" i="16"/>
  <c r="J62" i="16" s="1"/>
  <c r="C58" i="16"/>
  <c r="J58" i="16" s="1"/>
  <c r="C54" i="16"/>
  <c r="J54" i="16" s="1"/>
  <c r="C50" i="16"/>
  <c r="J50" i="16" s="1"/>
  <c r="C465" i="16"/>
  <c r="J465" i="16" s="1"/>
  <c r="C461" i="16"/>
  <c r="J461" i="16" s="1"/>
  <c r="C457" i="16"/>
  <c r="J457" i="16" s="1"/>
  <c r="C453" i="16"/>
  <c r="J453" i="16" s="1"/>
  <c r="C385" i="16"/>
  <c r="J385" i="16" s="1"/>
  <c r="C381" i="16"/>
  <c r="J381" i="16" s="1"/>
  <c r="C377" i="16"/>
  <c r="J377" i="16" s="1"/>
  <c r="C373" i="16"/>
  <c r="J373" i="16" s="1"/>
  <c r="C305" i="16"/>
  <c r="J305" i="16" s="1"/>
  <c r="C301" i="16"/>
  <c r="J301" i="16" s="1"/>
  <c r="C297" i="16"/>
  <c r="J297" i="16" s="1"/>
  <c r="C293" i="16"/>
  <c r="J293" i="16" s="1"/>
  <c r="C225" i="16"/>
  <c r="J225" i="16" s="1"/>
  <c r="C221" i="16"/>
  <c r="J221" i="16" s="1"/>
  <c r="C217" i="16"/>
  <c r="J217" i="16" s="1"/>
  <c r="C213" i="16"/>
  <c r="J213" i="16" s="1"/>
  <c r="C145" i="16"/>
  <c r="J145" i="16" s="1"/>
  <c r="C141" i="16"/>
  <c r="J141" i="16" s="1"/>
  <c r="C137" i="16"/>
  <c r="J137" i="16" s="1"/>
  <c r="C133" i="16"/>
  <c r="J133" i="16" s="1"/>
  <c r="C65" i="16"/>
  <c r="J65" i="16" s="1"/>
  <c r="C61" i="16"/>
  <c r="J61" i="16" s="1"/>
  <c r="C57" i="16"/>
  <c r="J57" i="16" s="1"/>
  <c r="C53" i="16"/>
  <c r="J53" i="16" s="1"/>
  <c r="C452" i="16"/>
  <c r="J452" i="16" s="1"/>
  <c r="C372" i="16"/>
  <c r="J372" i="16" s="1"/>
  <c r="C292" i="16"/>
  <c r="J292" i="16" s="1"/>
  <c r="C212" i="16"/>
  <c r="J212" i="16" s="1"/>
  <c r="C132" i="16"/>
  <c r="J132" i="16" s="1"/>
  <c r="C52" i="16"/>
  <c r="J52" i="16" s="1"/>
  <c r="C144" i="16"/>
  <c r="J144" i="16" s="1"/>
  <c r="C380" i="16"/>
  <c r="J380" i="16" s="1"/>
  <c r="C220" i="16"/>
  <c r="J220" i="16" s="1"/>
  <c r="C60" i="16"/>
  <c r="J60" i="16" s="1"/>
  <c r="C296" i="16"/>
  <c r="J296" i="16" s="1"/>
  <c r="C136" i="16"/>
  <c r="J136" i="16" s="1"/>
  <c r="C464" i="16"/>
  <c r="J464" i="16" s="1"/>
  <c r="C384" i="16"/>
  <c r="J384" i="16" s="1"/>
  <c r="C304" i="16"/>
  <c r="J304" i="16" s="1"/>
  <c r="C224" i="16"/>
  <c r="J224" i="16" s="1"/>
  <c r="C64" i="16"/>
  <c r="J64" i="16" s="1"/>
  <c r="C460" i="16"/>
  <c r="J460" i="16" s="1"/>
  <c r="C300" i="16"/>
  <c r="J300" i="16" s="1"/>
  <c r="C140" i="16"/>
  <c r="J140" i="16" s="1"/>
  <c r="C456" i="16"/>
  <c r="J456" i="16" s="1"/>
  <c r="C376" i="16"/>
  <c r="J376" i="16" s="1"/>
  <c r="C216" i="16"/>
  <c r="J216" i="16" s="1"/>
  <c r="C56" i="16"/>
  <c r="J56" i="16" s="1"/>
  <c r="D457" i="16"/>
  <c r="K457" i="16" s="1"/>
  <c r="D393" i="16"/>
  <c r="K393" i="16" s="1"/>
  <c r="D329" i="16"/>
  <c r="K329" i="16" s="1"/>
  <c r="D265" i="16"/>
  <c r="K265" i="16" s="1"/>
  <c r="D201" i="16"/>
  <c r="K201" i="16" s="1"/>
  <c r="D137" i="16"/>
  <c r="K137" i="16" s="1"/>
  <c r="D73" i="16"/>
  <c r="K73" i="16" s="1"/>
  <c r="D9" i="16"/>
  <c r="K9" i="16" s="1"/>
  <c r="D425" i="16"/>
  <c r="K425" i="16" s="1"/>
  <c r="D361" i="16"/>
  <c r="K361" i="16" s="1"/>
  <c r="D297" i="16"/>
  <c r="K297" i="16" s="1"/>
  <c r="D233" i="16"/>
  <c r="K233" i="16" s="1"/>
  <c r="D169" i="16"/>
  <c r="K169" i="16" s="1"/>
  <c r="D105" i="16"/>
  <c r="K105" i="16" s="1"/>
  <c r="D41" i="16"/>
  <c r="K41" i="16" s="1"/>
  <c r="D409" i="16"/>
  <c r="K409" i="16" s="1"/>
  <c r="D281" i="16"/>
  <c r="K281" i="16" s="1"/>
  <c r="D153" i="16"/>
  <c r="K153" i="16" s="1"/>
  <c r="D25" i="16"/>
  <c r="K25" i="16" s="1"/>
  <c r="D377" i="16"/>
  <c r="K377" i="16" s="1"/>
  <c r="D249" i="16"/>
  <c r="K249" i="16" s="1"/>
  <c r="D121" i="16"/>
  <c r="K121" i="16" s="1"/>
  <c r="D473" i="16"/>
  <c r="K473" i="16" s="1"/>
  <c r="D345" i="16"/>
  <c r="K345" i="16" s="1"/>
  <c r="D217" i="16"/>
  <c r="K217" i="16" s="1"/>
  <c r="D89" i="16"/>
  <c r="K89" i="16" s="1"/>
  <c r="D441" i="16"/>
  <c r="K441" i="16" s="1"/>
  <c r="D313" i="16"/>
  <c r="K313" i="16" s="1"/>
  <c r="D185" i="16"/>
  <c r="K185" i="16" s="1"/>
  <c r="D57" i="16"/>
  <c r="K57" i="16" s="1"/>
  <c r="D426" i="16"/>
  <c r="K426" i="16" s="1"/>
  <c r="D362" i="16"/>
  <c r="K362" i="16" s="1"/>
  <c r="D298" i="16"/>
  <c r="K298" i="16" s="1"/>
  <c r="D234" i="16"/>
  <c r="K234" i="16" s="1"/>
  <c r="D170" i="16"/>
  <c r="K170" i="16" s="1"/>
  <c r="D106" i="16"/>
  <c r="K106" i="16" s="1"/>
  <c r="D42" i="16"/>
  <c r="K42" i="16" s="1"/>
  <c r="D458" i="16"/>
  <c r="K458" i="16" s="1"/>
  <c r="D394" i="16"/>
  <c r="K394" i="16" s="1"/>
  <c r="D330" i="16"/>
  <c r="K330" i="16" s="1"/>
  <c r="D266" i="16"/>
  <c r="K266" i="16" s="1"/>
  <c r="D202" i="16"/>
  <c r="K202" i="16" s="1"/>
  <c r="D138" i="16"/>
  <c r="K138" i="16" s="1"/>
  <c r="D74" i="16"/>
  <c r="K74" i="16" s="1"/>
  <c r="D10" i="16"/>
  <c r="K10" i="16" s="1"/>
  <c r="D442" i="16"/>
  <c r="K442" i="16" s="1"/>
  <c r="D314" i="16"/>
  <c r="K314" i="16" s="1"/>
  <c r="D186" i="16"/>
  <c r="K186" i="16" s="1"/>
  <c r="D58" i="16"/>
  <c r="K58" i="16" s="1"/>
  <c r="D410" i="16"/>
  <c r="K410" i="16" s="1"/>
  <c r="D282" i="16"/>
  <c r="K282" i="16" s="1"/>
  <c r="D154" i="16"/>
  <c r="K154" i="16" s="1"/>
  <c r="D26" i="16"/>
  <c r="K26" i="16" s="1"/>
  <c r="D378" i="16"/>
  <c r="K378" i="16" s="1"/>
  <c r="D250" i="16"/>
  <c r="K250" i="16" s="1"/>
  <c r="D122" i="16"/>
  <c r="K122" i="16" s="1"/>
  <c r="D474" i="16"/>
  <c r="K474" i="16" s="1"/>
  <c r="D346" i="16"/>
  <c r="K346" i="16" s="1"/>
  <c r="D218" i="16"/>
  <c r="K218" i="16" s="1"/>
  <c r="D90" i="16"/>
  <c r="K90" i="16" s="1"/>
  <c r="D436" i="16"/>
  <c r="K436" i="16" s="1"/>
  <c r="D372" i="16"/>
  <c r="K372" i="16" s="1"/>
  <c r="D308" i="16"/>
  <c r="K308" i="16" s="1"/>
  <c r="D244" i="16"/>
  <c r="K244" i="16" s="1"/>
  <c r="D180" i="16"/>
  <c r="K180" i="16" s="1"/>
  <c r="D116" i="16"/>
  <c r="K116" i="16" s="1"/>
  <c r="D52" i="16"/>
  <c r="K52" i="16" s="1"/>
  <c r="D420" i="16"/>
  <c r="K420" i="16" s="1"/>
  <c r="D356" i="16"/>
  <c r="K356" i="16" s="1"/>
  <c r="D292" i="16"/>
  <c r="K292" i="16" s="1"/>
  <c r="D228" i="16"/>
  <c r="K228" i="16" s="1"/>
  <c r="D164" i="16"/>
  <c r="K164" i="16" s="1"/>
  <c r="D100" i="16"/>
  <c r="K100" i="16" s="1"/>
  <c r="D36" i="16"/>
  <c r="K36" i="16" s="1"/>
  <c r="D468" i="16"/>
  <c r="K468" i="16" s="1"/>
  <c r="D404" i="16"/>
  <c r="K404" i="16" s="1"/>
  <c r="D340" i="16"/>
  <c r="K340" i="16" s="1"/>
  <c r="D276" i="16"/>
  <c r="K276" i="16" s="1"/>
  <c r="D212" i="16"/>
  <c r="K212" i="16" s="1"/>
  <c r="D148" i="16"/>
  <c r="K148" i="16" s="1"/>
  <c r="D84" i="16"/>
  <c r="K84" i="16" s="1"/>
  <c r="D20" i="16"/>
  <c r="K20" i="16" s="1"/>
  <c r="D260" i="16"/>
  <c r="K260" i="16" s="1"/>
  <c r="D4" i="16"/>
  <c r="K4" i="16" s="1"/>
  <c r="D452" i="16"/>
  <c r="K452" i="16" s="1"/>
  <c r="D196" i="16"/>
  <c r="K196" i="16" s="1"/>
  <c r="D388" i="16"/>
  <c r="K388" i="16" s="1"/>
  <c r="D132" i="16"/>
  <c r="K132" i="16" s="1"/>
  <c r="D324" i="16"/>
  <c r="K324" i="16" s="1"/>
  <c r="D68" i="16"/>
  <c r="K68" i="16" s="1"/>
  <c r="A240" i="16"/>
  <c r="H240" i="16" s="1"/>
  <c r="A236" i="16"/>
  <c r="H236" i="16" s="1"/>
  <c r="A232" i="16"/>
  <c r="H232" i="16" s="1"/>
  <c r="A228" i="16"/>
  <c r="H228" i="16" s="1"/>
  <c r="A224" i="16"/>
  <c r="H224" i="16" s="1"/>
  <c r="A220" i="16"/>
  <c r="H220" i="16" s="1"/>
  <c r="A216" i="16"/>
  <c r="H216" i="16" s="1"/>
  <c r="A212" i="16"/>
  <c r="H212" i="16" s="1"/>
  <c r="A208" i="16"/>
  <c r="H208" i="16" s="1"/>
  <c r="A204" i="16"/>
  <c r="H204" i="16" s="1"/>
  <c r="A200" i="16"/>
  <c r="H200" i="16" s="1"/>
  <c r="A196" i="16"/>
  <c r="H196" i="16" s="1"/>
  <c r="A192" i="16"/>
  <c r="H192" i="16" s="1"/>
  <c r="A188" i="16"/>
  <c r="H188" i="16" s="1"/>
  <c r="A184" i="16"/>
  <c r="H184" i="16" s="1"/>
  <c r="A180" i="16"/>
  <c r="H180" i="16" s="1"/>
  <c r="A176" i="16"/>
  <c r="H176" i="16" s="1"/>
  <c r="A172" i="16"/>
  <c r="H172" i="16" s="1"/>
  <c r="A168" i="16"/>
  <c r="H168" i="16" s="1"/>
  <c r="A164" i="16"/>
  <c r="H164" i="16" s="1"/>
  <c r="A160" i="16"/>
  <c r="H160" i="16" s="1"/>
  <c r="A156" i="16"/>
  <c r="H156" i="16" s="1"/>
  <c r="A152" i="16"/>
  <c r="H152" i="16" s="1"/>
  <c r="A148" i="16"/>
  <c r="H148" i="16" s="1"/>
  <c r="A144" i="16"/>
  <c r="H144" i="16" s="1"/>
  <c r="A140" i="16"/>
  <c r="H140" i="16" s="1"/>
  <c r="A136" i="16"/>
  <c r="H136" i="16" s="1"/>
  <c r="A132" i="16"/>
  <c r="H132" i="16" s="1"/>
  <c r="A239" i="16"/>
  <c r="H239" i="16" s="1"/>
  <c r="A235" i="16"/>
  <c r="H235" i="16" s="1"/>
  <c r="A231" i="16"/>
  <c r="H231" i="16" s="1"/>
  <c r="A227" i="16"/>
  <c r="H227" i="16" s="1"/>
  <c r="A223" i="16"/>
  <c r="H223" i="16" s="1"/>
  <c r="A219" i="16"/>
  <c r="H219" i="16" s="1"/>
  <c r="A215" i="16"/>
  <c r="H215" i="16" s="1"/>
  <c r="A211" i="16"/>
  <c r="H211" i="16" s="1"/>
  <c r="A207" i="16"/>
  <c r="H207" i="16" s="1"/>
  <c r="A203" i="16"/>
  <c r="H203" i="16" s="1"/>
  <c r="A199" i="16"/>
  <c r="H199" i="16" s="1"/>
  <c r="A195" i="16"/>
  <c r="H195" i="16" s="1"/>
  <c r="A191" i="16"/>
  <c r="H191" i="16" s="1"/>
  <c r="A187" i="16"/>
  <c r="H187" i="16" s="1"/>
  <c r="A183" i="16"/>
  <c r="H183" i="16" s="1"/>
  <c r="A179" i="16"/>
  <c r="H179" i="16" s="1"/>
  <c r="A175" i="16"/>
  <c r="H175" i="16" s="1"/>
  <c r="A171" i="16"/>
  <c r="H171" i="16" s="1"/>
  <c r="A167" i="16"/>
  <c r="H167" i="16" s="1"/>
  <c r="A163" i="16"/>
  <c r="H163" i="16" s="1"/>
  <c r="A159" i="16"/>
  <c r="H159" i="16" s="1"/>
  <c r="A155" i="16"/>
  <c r="H155" i="16" s="1"/>
  <c r="A151" i="16"/>
  <c r="H151" i="16" s="1"/>
  <c r="A147" i="16"/>
  <c r="H147" i="16" s="1"/>
  <c r="A143" i="16"/>
  <c r="H143" i="16" s="1"/>
  <c r="A139" i="16"/>
  <c r="H139" i="16" s="1"/>
  <c r="A135" i="16"/>
  <c r="H135" i="16" s="1"/>
  <c r="A131" i="16"/>
  <c r="H131" i="16" s="1"/>
  <c r="A127" i="16"/>
  <c r="H127" i="16" s="1"/>
  <c r="A123" i="16"/>
  <c r="H123" i="16" s="1"/>
  <c r="A238" i="16"/>
  <c r="H238" i="16" s="1"/>
  <c r="A234" i="16"/>
  <c r="H234" i="16" s="1"/>
  <c r="A230" i="16"/>
  <c r="H230" i="16" s="1"/>
  <c r="A226" i="16"/>
  <c r="H226" i="16" s="1"/>
  <c r="A222" i="16"/>
  <c r="H222" i="16" s="1"/>
  <c r="A218" i="16"/>
  <c r="H218" i="16" s="1"/>
  <c r="A214" i="16"/>
  <c r="H214" i="16" s="1"/>
  <c r="A210" i="16"/>
  <c r="H210" i="16" s="1"/>
  <c r="A206" i="16"/>
  <c r="H206" i="16" s="1"/>
  <c r="A202" i="16"/>
  <c r="H202" i="16" s="1"/>
  <c r="A198" i="16"/>
  <c r="H198" i="16" s="1"/>
  <c r="A194" i="16"/>
  <c r="H194" i="16" s="1"/>
  <c r="A190" i="16"/>
  <c r="H190" i="16" s="1"/>
  <c r="A186" i="16"/>
  <c r="H186" i="16" s="1"/>
  <c r="A182" i="16"/>
  <c r="H182" i="16" s="1"/>
  <c r="A178" i="16"/>
  <c r="H178" i="16" s="1"/>
  <c r="A174" i="16"/>
  <c r="H174" i="16" s="1"/>
  <c r="A170" i="16"/>
  <c r="H170" i="16" s="1"/>
  <c r="A166" i="16"/>
  <c r="H166" i="16" s="1"/>
  <c r="A162" i="16"/>
  <c r="H162" i="16" s="1"/>
  <c r="A158" i="16"/>
  <c r="H158" i="16" s="1"/>
  <c r="A154" i="16"/>
  <c r="H154" i="16" s="1"/>
  <c r="A150" i="16"/>
  <c r="H150" i="16" s="1"/>
  <c r="A146" i="16"/>
  <c r="H146" i="16" s="1"/>
  <c r="A142" i="16"/>
  <c r="H142" i="16" s="1"/>
  <c r="A138" i="16"/>
  <c r="H138" i="16" s="1"/>
  <c r="A134" i="16"/>
  <c r="H134" i="16" s="1"/>
  <c r="A130" i="16"/>
  <c r="H130" i="16" s="1"/>
  <c r="A126" i="16"/>
  <c r="H126" i="16" s="1"/>
  <c r="A122" i="16"/>
  <c r="H122" i="16" s="1"/>
  <c r="A241" i="16"/>
  <c r="H241" i="16" s="1"/>
  <c r="A225" i="16"/>
  <c r="H225" i="16" s="1"/>
  <c r="A209" i="16"/>
  <c r="H209" i="16" s="1"/>
  <c r="A193" i="16"/>
  <c r="H193" i="16" s="1"/>
  <c r="A177" i="16"/>
  <c r="H177" i="16" s="1"/>
  <c r="A161" i="16"/>
  <c r="H161" i="16" s="1"/>
  <c r="A145" i="16"/>
  <c r="H145" i="16" s="1"/>
  <c r="A129" i="16"/>
  <c r="H129" i="16" s="1"/>
  <c r="A121" i="16"/>
  <c r="H121" i="16" s="1"/>
  <c r="A117" i="16"/>
  <c r="H117" i="16" s="1"/>
  <c r="A113" i="16"/>
  <c r="H113" i="16" s="1"/>
  <c r="A109" i="16"/>
  <c r="H109" i="16" s="1"/>
  <c r="A105" i="16"/>
  <c r="H105" i="16" s="1"/>
  <c r="A101" i="16"/>
  <c r="H101" i="16" s="1"/>
  <c r="A97" i="16"/>
  <c r="H97" i="16" s="1"/>
  <c r="A93" i="16"/>
  <c r="H93" i="16" s="1"/>
  <c r="A89" i="16"/>
  <c r="H89" i="16" s="1"/>
  <c r="A85" i="16"/>
  <c r="H85" i="16" s="1"/>
  <c r="A81" i="16"/>
  <c r="H81" i="16" s="1"/>
  <c r="A77" i="16"/>
  <c r="H77" i="16" s="1"/>
  <c r="A73" i="16"/>
  <c r="H73" i="16" s="1"/>
  <c r="A69" i="16"/>
  <c r="H69" i="16" s="1"/>
  <c r="A65" i="16"/>
  <c r="H65" i="16" s="1"/>
  <c r="A61" i="16"/>
  <c r="H61" i="16" s="1"/>
  <c r="A57" i="16"/>
  <c r="H57" i="16" s="1"/>
  <c r="A53" i="16"/>
  <c r="H53" i="16" s="1"/>
  <c r="A49" i="16"/>
  <c r="H49" i="16" s="1"/>
  <c r="A45" i="16"/>
  <c r="H45" i="16" s="1"/>
  <c r="A41" i="16"/>
  <c r="H41" i="16" s="1"/>
  <c r="A37" i="16"/>
  <c r="H37" i="16" s="1"/>
  <c r="A33" i="16"/>
  <c r="H33" i="16" s="1"/>
  <c r="A29" i="16"/>
  <c r="H29" i="16" s="1"/>
  <c r="A25" i="16"/>
  <c r="H25" i="16" s="1"/>
  <c r="A21" i="16"/>
  <c r="H21" i="16" s="1"/>
  <c r="A17" i="16"/>
  <c r="H17" i="16" s="1"/>
  <c r="A13" i="16"/>
  <c r="H13" i="16" s="1"/>
  <c r="A9" i="16"/>
  <c r="H9" i="16" s="1"/>
  <c r="A5" i="16"/>
  <c r="H5" i="16" s="1"/>
  <c r="A237" i="16"/>
  <c r="H237" i="16" s="1"/>
  <c r="A221" i="16"/>
  <c r="H221" i="16" s="1"/>
  <c r="A205" i="16"/>
  <c r="H205" i="16" s="1"/>
  <c r="A189" i="16"/>
  <c r="H189" i="16" s="1"/>
  <c r="A173" i="16"/>
  <c r="H173" i="16" s="1"/>
  <c r="A157" i="16"/>
  <c r="H157" i="16" s="1"/>
  <c r="A141" i="16"/>
  <c r="H141" i="16" s="1"/>
  <c r="A128" i="16"/>
  <c r="H128" i="16" s="1"/>
  <c r="A120" i="16"/>
  <c r="H120" i="16" s="1"/>
  <c r="A116" i="16"/>
  <c r="H116" i="16" s="1"/>
  <c r="A112" i="16"/>
  <c r="H112" i="16" s="1"/>
  <c r="A108" i="16"/>
  <c r="H108" i="16" s="1"/>
  <c r="A104" i="16"/>
  <c r="H104" i="16" s="1"/>
  <c r="A100" i="16"/>
  <c r="H100" i="16" s="1"/>
  <c r="A96" i="16"/>
  <c r="H96" i="16" s="1"/>
  <c r="A92" i="16"/>
  <c r="H92" i="16" s="1"/>
  <c r="A88" i="16"/>
  <c r="H88" i="16" s="1"/>
  <c r="A84" i="16"/>
  <c r="H84" i="16" s="1"/>
  <c r="A80" i="16"/>
  <c r="H80" i="16" s="1"/>
  <c r="A76" i="16"/>
  <c r="H76" i="16" s="1"/>
  <c r="A72" i="16"/>
  <c r="H72" i="16" s="1"/>
  <c r="A68" i="16"/>
  <c r="H68" i="16" s="1"/>
  <c r="A64" i="16"/>
  <c r="H64" i="16" s="1"/>
  <c r="A60" i="16"/>
  <c r="H60" i="16" s="1"/>
  <c r="A56" i="16"/>
  <c r="H56" i="16" s="1"/>
  <c r="A52" i="16"/>
  <c r="H52" i="16" s="1"/>
  <c r="A48" i="16"/>
  <c r="H48" i="16" s="1"/>
  <c r="A44" i="16"/>
  <c r="H44" i="16" s="1"/>
  <c r="A40" i="16"/>
  <c r="H40" i="16" s="1"/>
  <c r="A36" i="16"/>
  <c r="H36" i="16" s="1"/>
  <c r="A32" i="16"/>
  <c r="H32" i="16" s="1"/>
  <c r="A28" i="16"/>
  <c r="H28" i="16" s="1"/>
  <c r="A24" i="16"/>
  <c r="H24" i="16" s="1"/>
  <c r="A20" i="16"/>
  <c r="H20" i="16" s="1"/>
  <c r="A16" i="16"/>
  <c r="H16" i="16" s="1"/>
  <c r="A12" i="16"/>
  <c r="H12" i="16" s="1"/>
  <c r="A8" i="16"/>
  <c r="H8" i="16" s="1"/>
  <c r="A4" i="16"/>
  <c r="H4" i="16" s="1"/>
  <c r="A233" i="16"/>
  <c r="H233" i="16" s="1"/>
  <c r="A217" i="16"/>
  <c r="H217" i="16" s="1"/>
  <c r="A201" i="16"/>
  <c r="H201" i="16" s="1"/>
  <c r="A185" i="16"/>
  <c r="H185" i="16" s="1"/>
  <c r="A169" i="16"/>
  <c r="H169" i="16" s="1"/>
  <c r="A153" i="16"/>
  <c r="H153" i="16" s="1"/>
  <c r="A137" i="16"/>
  <c r="H137" i="16" s="1"/>
  <c r="A125" i="16"/>
  <c r="H125" i="16" s="1"/>
  <c r="A119" i="16"/>
  <c r="H119" i="16" s="1"/>
  <c r="A115" i="16"/>
  <c r="H115" i="16" s="1"/>
  <c r="A111" i="16"/>
  <c r="H111" i="16" s="1"/>
  <c r="A107" i="16"/>
  <c r="H107" i="16" s="1"/>
  <c r="A103" i="16"/>
  <c r="H103" i="16" s="1"/>
  <c r="A99" i="16"/>
  <c r="H99" i="16" s="1"/>
  <c r="A95" i="16"/>
  <c r="H95" i="16" s="1"/>
  <c r="A91" i="16"/>
  <c r="H91" i="16" s="1"/>
  <c r="A87" i="16"/>
  <c r="H87" i="16" s="1"/>
  <c r="A83" i="16"/>
  <c r="H83" i="16" s="1"/>
  <c r="A79" i="16"/>
  <c r="H79" i="16" s="1"/>
  <c r="A75" i="16"/>
  <c r="H75" i="16" s="1"/>
  <c r="A71" i="16"/>
  <c r="H71" i="16" s="1"/>
  <c r="A67" i="16"/>
  <c r="H67" i="16" s="1"/>
  <c r="A63" i="16"/>
  <c r="H63" i="16" s="1"/>
  <c r="A59" i="16"/>
  <c r="H59" i="16" s="1"/>
  <c r="A55" i="16"/>
  <c r="H55" i="16" s="1"/>
  <c r="A51" i="16"/>
  <c r="H51" i="16" s="1"/>
  <c r="A47" i="16"/>
  <c r="H47" i="16" s="1"/>
  <c r="A43" i="16"/>
  <c r="H43" i="16" s="1"/>
  <c r="A39" i="16"/>
  <c r="H39" i="16" s="1"/>
  <c r="A35" i="16"/>
  <c r="H35" i="16" s="1"/>
  <c r="A31" i="16"/>
  <c r="H31" i="16" s="1"/>
  <c r="A27" i="16"/>
  <c r="H27" i="16" s="1"/>
  <c r="A23" i="16"/>
  <c r="H23" i="16" s="1"/>
  <c r="A19" i="16"/>
  <c r="H19" i="16" s="1"/>
  <c r="A15" i="16"/>
  <c r="H15" i="16" s="1"/>
  <c r="A11" i="16"/>
  <c r="H11" i="16" s="1"/>
  <c r="A7" i="16"/>
  <c r="H7" i="16" s="1"/>
  <c r="A3" i="16"/>
  <c r="H3" i="16" s="1"/>
  <c r="A197" i="16"/>
  <c r="H197" i="16" s="1"/>
  <c r="A133" i="16"/>
  <c r="H133" i="16" s="1"/>
  <c r="A110" i="16"/>
  <c r="H110" i="16" s="1"/>
  <c r="A94" i="16"/>
  <c r="H94" i="16" s="1"/>
  <c r="A78" i="16"/>
  <c r="H78" i="16" s="1"/>
  <c r="A62" i="16"/>
  <c r="H62" i="16" s="1"/>
  <c r="A46" i="16"/>
  <c r="H46" i="16" s="1"/>
  <c r="A30" i="16"/>
  <c r="H30" i="16" s="1"/>
  <c r="A14" i="16"/>
  <c r="H14" i="16" s="1"/>
  <c r="A181" i="16"/>
  <c r="H181" i="16" s="1"/>
  <c r="A124" i="16"/>
  <c r="H124" i="16" s="1"/>
  <c r="A106" i="16"/>
  <c r="H106" i="16" s="1"/>
  <c r="A90" i="16"/>
  <c r="H90" i="16" s="1"/>
  <c r="A74" i="16"/>
  <c r="H74" i="16" s="1"/>
  <c r="A58" i="16"/>
  <c r="H58" i="16" s="1"/>
  <c r="A42" i="16"/>
  <c r="H42" i="16" s="1"/>
  <c r="A26" i="16"/>
  <c r="H26" i="16" s="1"/>
  <c r="A10" i="16"/>
  <c r="H10" i="16" s="1"/>
  <c r="A213" i="16"/>
  <c r="H213" i="16" s="1"/>
  <c r="A114" i="16"/>
  <c r="H114" i="16" s="1"/>
  <c r="A82" i="16"/>
  <c r="H82" i="16" s="1"/>
  <c r="A50" i="16"/>
  <c r="H50" i="16" s="1"/>
  <c r="A18" i="16"/>
  <c r="H18" i="16" s="1"/>
  <c r="A229" i="16"/>
  <c r="H229" i="16" s="1"/>
  <c r="A165" i="16"/>
  <c r="H165" i="16" s="1"/>
  <c r="A118" i="16"/>
  <c r="H118" i="16" s="1"/>
  <c r="A102" i="16"/>
  <c r="H102" i="16" s="1"/>
  <c r="A86" i="16"/>
  <c r="H86" i="16" s="1"/>
  <c r="A70" i="16"/>
  <c r="H70" i="16" s="1"/>
  <c r="A54" i="16"/>
  <c r="H54" i="16" s="1"/>
  <c r="A38" i="16"/>
  <c r="H38" i="16" s="1"/>
  <c r="A22" i="16"/>
  <c r="H22" i="16" s="1"/>
  <c r="A6" i="16"/>
  <c r="H6" i="16" s="1"/>
  <c r="A149" i="16"/>
  <c r="H149" i="16" s="1"/>
  <c r="A98" i="16"/>
  <c r="H98" i="16" s="1"/>
  <c r="A66" i="16"/>
  <c r="H66" i="16" s="1"/>
  <c r="A34" i="16"/>
  <c r="H34" i="16" s="1"/>
  <c r="A2" i="16"/>
  <c r="H2" i="16" s="1"/>
  <c r="A481" i="16"/>
  <c r="H481" i="16" s="1"/>
  <c r="A477" i="16"/>
  <c r="H477" i="16" s="1"/>
  <c r="A473" i="16"/>
  <c r="H473" i="16" s="1"/>
  <c r="A469" i="16"/>
  <c r="H469" i="16" s="1"/>
  <c r="A465" i="16"/>
  <c r="H465" i="16" s="1"/>
  <c r="A461" i="16"/>
  <c r="H461" i="16" s="1"/>
  <c r="A457" i="16"/>
  <c r="H457" i="16" s="1"/>
  <c r="A453" i="16"/>
  <c r="H453" i="16" s="1"/>
  <c r="A449" i="16"/>
  <c r="H449" i="16" s="1"/>
  <c r="A445" i="16"/>
  <c r="H445" i="16" s="1"/>
  <c r="A441" i="16"/>
  <c r="H441" i="16" s="1"/>
  <c r="A437" i="16"/>
  <c r="H437" i="16" s="1"/>
  <c r="A433" i="16"/>
  <c r="H433" i="16" s="1"/>
  <c r="A429" i="16"/>
  <c r="H429" i="16" s="1"/>
  <c r="A425" i="16"/>
  <c r="H425" i="16" s="1"/>
  <c r="A421" i="16"/>
  <c r="H421" i="16" s="1"/>
  <c r="A417" i="16"/>
  <c r="H417" i="16" s="1"/>
  <c r="A413" i="16"/>
  <c r="H413" i="16" s="1"/>
  <c r="A409" i="16"/>
  <c r="H409" i="16" s="1"/>
  <c r="A405" i="16"/>
  <c r="H405" i="16" s="1"/>
  <c r="A401" i="16"/>
  <c r="H401" i="16" s="1"/>
  <c r="A397" i="16"/>
  <c r="H397" i="16" s="1"/>
  <c r="A393" i="16"/>
  <c r="H393" i="16" s="1"/>
  <c r="A389" i="16"/>
  <c r="H389" i="16" s="1"/>
  <c r="A480" i="16"/>
  <c r="H480" i="16" s="1"/>
  <c r="A476" i="16"/>
  <c r="H476" i="16" s="1"/>
  <c r="A472" i="16"/>
  <c r="H472" i="16" s="1"/>
  <c r="A468" i="16"/>
  <c r="H468" i="16" s="1"/>
  <c r="A464" i="16"/>
  <c r="H464" i="16" s="1"/>
  <c r="A460" i="16"/>
  <c r="H460" i="16" s="1"/>
  <c r="A456" i="16"/>
  <c r="H456" i="16" s="1"/>
  <c r="A452" i="16"/>
  <c r="H452" i="16" s="1"/>
  <c r="A448" i="16"/>
  <c r="H448" i="16" s="1"/>
  <c r="A444" i="16"/>
  <c r="H444" i="16" s="1"/>
  <c r="A440" i="16"/>
  <c r="H440" i="16" s="1"/>
  <c r="A436" i="16"/>
  <c r="H436" i="16" s="1"/>
  <c r="A432" i="16"/>
  <c r="H432" i="16" s="1"/>
  <c r="A428" i="16"/>
  <c r="H428" i="16" s="1"/>
  <c r="A424" i="16"/>
  <c r="H424" i="16" s="1"/>
  <c r="A420" i="16"/>
  <c r="H420" i="16" s="1"/>
  <c r="A416" i="16"/>
  <c r="H416" i="16" s="1"/>
  <c r="A412" i="16"/>
  <c r="H412" i="16" s="1"/>
  <c r="A408" i="16"/>
  <c r="H408" i="16" s="1"/>
  <c r="A404" i="16"/>
  <c r="H404" i="16" s="1"/>
  <c r="A400" i="16"/>
  <c r="H400" i="16" s="1"/>
  <c r="A396" i="16"/>
  <c r="H396" i="16" s="1"/>
  <c r="A392" i="16"/>
  <c r="H392" i="16" s="1"/>
  <c r="A388" i="16"/>
  <c r="H388" i="16" s="1"/>
  <c r="A479" i="16"/>
  <c r="H479" i="16" s="1"/>
  <c r="A475" i="16"/>
  <c r="H475" i="16" s="1"/>
  <c r="A471" i="16"/>
  <c r="H471" i="16" s="1"/>
  <c r="A467" i="16"/>
  <c r="H467" i="16" s="1"/>
  <c r="A463" i="16"/>
  <c r="H463" i="16" s="1"/>
  <c r="A459" i="16"/>
  <c r="H459" i="16" s="1"/>
  <c r="A455" i="16"/>
  <c r="H455" i="16" s="1"/>
  <c r="A451" i="16"/>
  <c r="H451" i="16" s="1"/>
  <c r="A447" i="16"/>
  <c r="H447" i="16" s="1"/>
  <c r="A443" i="16"/>
  <c r="H443" i="16" s="1"/>
  <c r="A439" i="16"/>
  <c r="H439" i="16" s="1"/>
  <c r="A435" i="16"/>
  <c r="H435" i="16" s="1"/>
  <c r="A431" i="16"/>
  <c r="H431" i="16" s="1"/>
  <c r="A427" i="16"/>
  <c r="H427" i="16" s="1"/>
  <c r="A423" i="16"/>
  <c r="H423" i="16" s="1"/>
  <c r="A419" i="16"/>
  <c r="H419" i="16" s="1"/>
  <c r="A415" i="16"/>
  <c r="H415" i="16" s="1"/>
  <c r="A411" i="16"/>
  <c r="H411" i="16" s="1"/>
  <c r="A407" i="16"/>
  <c r="H407" i="16" s="1"/>
  <c r="A403" i="16"/>
  <c r="H403" i="16" s="1"/>
  <c r="A399" i="16"/>
  <c r="H399" i="16" s="1"/>
  <c r="A395" i="16"/>
  <c r="H395" i="16" s="1"/>
  <c r="A391" i="16"/>
  <c r="H391" i="16" s="1"/>
  <c r="A387" i="16"/>
  <c r="H387" i="16" s="1"/>
  <c r="A383" i="16"/>
  <c r="H383" i="16" s="1"/>
  <c r="A478" i="16"/>
  <c r="H478" i="16" s="1"/>
  <c r="A462" i="16"/>
  <c r="H462" i="16" s="1"/>
  <c r="A446" i="16"/>
  <c r="H446" i="16" s="1"/>
  <c r="A430" i="16"/>
  <c r="H430" i="16" s="1"/>
  <c r="A414" i="16"/>
  <c r="H414" i="16" s="1"/>
  <c r="A398" i="16"/>
  <c r="H398" i="16" s="1"/>
  <c r="A385" i="16"/>
  <c r="H385" i="16" s="1"/>
  <c r="A380" i="16"/>
  <c r="H380" i="16" s="1"/>
  <c r="A376" i="16"/>
  <c r="H376" i="16" s="1"/>
  <c r="A372" i="16"/>
  <c r="H372" i="16" s="1"/>
  <c r="A368" i="16"/>
  <c r="H368" i="16" s="1"/>
  <c r="A364" i="16"/>
  <c r="H364" i="16" s="1"/>
  <c r="A360" i="16"/>
  <c r="H360" i="16" s="1"/>
  <c r="A356" i="16"/>
  <c r="H356" i="16" s="1"/>
  <c r="A352" i="16"/>
  <c r="H352" i="16" s="1"/>
  <c r="A348" i="16"/>
  <c r="H348" i="16" s="1"/>
  <c r="A344" i="16"/>
  <c r="H344" i="16" s="1"/>
  <c r="A340" i="16"/>
  <c r="H340" i="16" s="1"/>
  <c r="A336" i="16"/>
  <c r="H336" i="16" s="1"/>
  <c r="A332" i="16"/>
  <c r="H332" i="16" s="1"/>
  <c r="A328" i="16"/>
  <c r="H328" i="16" s="1"/>
  <c r="A324" i="16"/>
  <c r="H324" i="16" s="1"/>
  <c r="A320" i="16"/>
  <c r="H320" i="16" s="1"/>
  <c r="A316" i="16"/>
  <c r="H316" i="16" s="1"/>
  <c r="A312" i="16"/>
  <c r="H312" i="16" s="1"/>
  <c r="A308" i="16"/>
  <c r="H308" i="16" s="1"/>
  <c r="A304" i="16"/>
  <c r="H304" i="16" s="1"/>
  <c r="A300" i="16"/>
  <c r="H300" i="16" s="1"/>
  <c r="A296" i="16"/>
  <c r="H296" i="16" s="1"/>
  <c r="A292" i="16"/>
  <c r="H292" i="16" s="1"/>
  <c r="A288" i="16"/>
  <c r="H288" i="16" s="1"/>
  <c r="A284" i="16"/>
  <c r="H284" i="16" s="1"/>
  <c r="A280" i="16"/>
  <c r="H280" i="16" s="1"/>
  <c r="A276" i="16"/>
  <c r="H276" i="16" s="1"/>
  <c r="A272" i="16"/>
  <c r="H272" i="16" s="1"/>
  <c r="A268" i="16"/>
  <c r="H268" i="16" s="1"/>
  <c r="A264" i="16"/>
  <c r="H264" i="16" s="1"/>
  <c r="A260" i="16"/>
  <c r="H260" i="16" s="1"/>
  <c r="A256" i="16"/>
  <c r="H256" i="16" s="1"/>
  <c r="A252" i="16"/>
  <c r="H252" i="16" s="1"/>
  <c r="A248" i="16"/>
  <c r="H248" i="16" s="1"/>
  <c r="A244" i="16"/>
  <c r="H244" i="16" s="1"/>
  <c r="A474" i="16"/>
  <c r="H474" i="16" s="1"/>
  <c r="A458" i="16"/>
  <c r="H458" i="16" s="1"/>
  <c r="A442" i="16"/>
  <c r="H442" i="16" s="1"/>
  <c r="A426" i="16"/>
  <c r="H426" i="16" s="1"/>
  <c r="A410" i="16"/>
  <c r="H410" i="16" s="1"/>
  <c r="A394" i="16"/>
  <c r="H394" i="16" s="1"/>
  <c r="A384" i="16"/>
  <c r="H384" i="16" s="1"/>
  <c r="A379" i="16"/>
  <c r="H379" i="16" s="1"/>
  <c r="A375" i="16"/>
  <c r="H375" i="16" s="1"/>
  <c r="A371" i="16"/>
  <c r="H371" i="16" s="1"/>
  <c r="A367" i="16"/>
  <c r="H367" i="16" s="1"/>
  <c r="A363" i="16"/>
  <c r="H363" i="16" s="1"/>
  <c r="A359" i="16"/>
  <c r="H359" i="16" s="1"/>
  <c r="A355" i="16"/>
  <c r="H355" i="16" s="1"/>
  <c r="A351" i="16"/>
  <c r="H351" i="16" s="1"/>
  <c r="A347" i="16"/>
  <c r="H347" i="16" s="1"/>
  <c r="A343" i="16"/>
  <c r="H343" i="16" s="1"/>
  <c r="A339" i="16"/>
  <c r="H339" i="16" s="1"/>
  <c r="A335" i="16"/>
  <c r="H335" i="16" s="1"/>
  <c r="A331" i="16"/>
  <c r="H331" i="16" s="1"/>
  <c r="A327" i="16"/>
  <c r="H327" i="16" s="1"/>
  <c r="A323" i="16"/>
  <c r="H323" i="16" s="1"/>
  <c r="A319" i="16"/>
  <c r="H319" i="16" s="1"/>
  <c r="A315" i="16"/>
  <c r="H315" i="16" s="1"/>
  <c r="A311" i="16"/>
  <c r="H311" i="16" s="1"/>
  <c r="A307" i="16"/>
  <c r="H307" i="16" s="1"/>
  <c r="A303" i="16"/>
  <c r="H303" i="16" s="1"/>
  <c r="A299" i="16"/>
  <c r="H299" i="16" s="1"/>
  <c r="A295" i="16"/>
  <c r="H295" i="16" s="1"/>
  <c r="A291" i="16"/>
  <c r="H291" i="16" s="1"/>
  <c r="A287" i="16"/>
  <c r="H287" i="16" s="1"/>
  <c r="A283" i="16"/>
  <c r="H283" i="16" s="1"/>
  <c r="A279" i="16"/>
  <c r="H279" i="16" s="1"/>
  <c r="A275" i="16"/>
  <c r="H275" i="16" s="1"/>
  <c r="A271" i="16"/>
  <c r="H271" i="16" s="1"/>
  <c r="A267" i="16"/>
  <c r="H267" i="16" s="1"/>
  <c r="A263" i="16"/>
  <c r="H263" i="16" s="1"/>
  <c r="A259" i="16"/>
  <c r="H259" i="16" s="1"/>
  <c r="A255" i="16"/>
  <c r="H255" i="16" s="1"/>
  <c r="A251" i="16"/>
  <c r="H251" i="16" s="1"/>
  <c r="A247" i="16"/>
  <c r="H247" i="16" s="1"/>
  <c r="A243" i="16"/>
  <c r="H243" i="16" s="1"/>
  <c r="A470" i="16"/>
  <c r="H470" i="16" s="1"/>
  <c r="A454" i="16"/>
  <c r="H454" i="16" s="1"/>
  <c r="A438" i="16"/>
  <c r="H438" i="16" s="1"/>
  <c r="A422" i="16"/>
  <c r="H422" i="16" s="1"/>
  <c r="A406" i="16"/>
  <c r="H406" i="16" s="1"/>
  <c r="A390" i="16"/>
  <c r="H390" i="16" s="1"/>
  <c r="A382" i="16"/>
  <c r="H382" i="16" s="1"/>
  <c r="A378" i="16"/>
  <c r="H378" i="16" s="1"/>
  <c r="A374" i="16"/>
  <c r="H374" i="16" s="1"/>
  <c r="A370" i="16"/>
  <c r="H370" i="16" s="1"/>
  <c r="A366" i="16"/>
  <c r="H366" i="16" s="1"/>
  <c r="A362" i="16"/>
  <c r="H362" i="16" s="1"/>
  <c r="A358" i="16"/>
  <c r="H358" i="16" s="1"/>
  <c r="A354" i="16"/>
  <c r="H354" i="16" s="1"/>
  <c r="A350" i="16"/>
  <c r="H350" i="16" s="1"/>
  <c r="A346" i="16"/>
  <c r="H346" i="16" s="1"/>
  <c r="A342" i="16"/>
  <c r="H342" i="16" s="1"/>
  <c r="A338" i="16"/>
  <c r="H338" i="16" s="1"/>
  <c r="A334" i="16"/>
  <c r="H334" i="16" s="1"/>
  <c r="A330" i="16"/>
  <c r="H330" i="16" s="1"/>
  <c r="A326" i="16"/>
  <c r="H326" i="16" s="1"/>
  <c r="A322" i="16"/>
  <c r="H322" i="16" s="1"/>
  <c r="A318" i="16"/>
  <c r="H318" i="16" s="1"/>
  <c r="A314" i="16"/>
  <c r="H314" i="16" s="1"/>
  <c r="A310" i="16"/>
  <c r="H310" i="16" s="1"/>
  <c r="A306" i="16"/>
  <c r="H306" i="16" s="1"/>
  <c r="A302" i="16"/>
  <c r="H302" i="16" s="1"/>
  <c r="A298" i="16"/>
  <c r="H298" i="16" s="1"/>
  <c r="A294" i="16"/>
  <c r="H294" i="16" s="1"/>
  <c r="A290" i="16"/>
  <c r="H290" i="16" s="1"/>
  <c r="A286" i="16"/>
  <c r="H286" i="16" s="1"/>
  <c r="A282" i="16"/>
  <c r="H282" i="16" s="1"/>
  <c r="A278" i="16"/>
  <c r="H278" i="16" s="1"/>
  <c r="A274" i="16"/>
  <c r="H274" i="16" s="1"/>
  <c r="A270" i="16"/>
  <c r="H270" i="16" s="1"/>
  <c r="A266" i="16"/>
  <c r="H266" i="16" s="1"/>
  <c r="A262" i="16"/>
  <c r="H262" i="16" s="1"/>
  <c r="A258" i="16"/>
  <c r="H258" i="16" s="1"/>
  <c r="A254" i="16"/>
  <c r="H254" i="16" s="1"/>
  <c r="A250" i="16"/>
  <c r="H250" i="16" s="1"/>
  <c r="A246" i="16"/>
  <c r="H246" i="16" s="1"/>
  <c r="A242" i="16"/>
  <c r="H242" i="16" s="1"/>
  <c r="A450" i="16"/>
  <c r="H450" i="16" s="1"/>
  <c r="A386" i="16"/>
  <c r="H386" i="16" s="1"/>
  <c r="A369" i="16"/>
  <c r="H369" i="16" s="1"/>
  <c r="A353" i="16"/>
  <c r="H353" i="16" s="1"/>
  <c r="A337" i="16"/>
  <c r="H337" i="16" s="1"/>
  <c r="A321" i="16"/>
  <c r="H321" i="16" s="1"/>
  <c r="A305" i="16"/>
  <c r="H305" i="16" s="1"/>
  <c r="A289" i="16"/>
  <c r="H289" i="16" s="1"/>
  <c r="A273" i="16"/>
  <c r="H273" i="16" s="1"/>
  <c r="A257" i="16"/>
  <c r="H257" i="16" s="1"/>
  <c r="A434" i="16"/>
  <c r="H434" i="16" s="1"/>
  <c r="A381" i="16"/>
  <c r="H381" i="16" s="1"/>
  <c r="A365" i="16"/>
  <c r="H365" i="16" s="1"/>
  <c r="A349" i="16"/>
  <c r="H349" i="16" s="1"/>
  <c r="A333" i="16"/>
  <c r="H333" i="16" s="1"/>
  <c r="A317" i="16"/>
  <c r="H317" i="16" s="1"/>
  <c r="A301" i="16"/>
  <c r="H301" i="16" s="1"/>
  <c r="A285" i="16"/>
  <c r="H285" i="16" s="1"/>
  <c r="A269" i="16"/>
  <c r="H269" i="16" s="1"/>
  <c r="A253" i="16"/>
  <c r="H253" i="16" s="1"/>
  <c r="A418" i="16"/>
  <c r="H418" i="16" s="1"/>
  <c r="A377" i="16"/>
  <c r="H377" i="16" s="1"/>
  <c r="A361" i="16"/>
  <c r="H361" i="16" s="1"/>
  <c r="A345" i="16"/>
  <c r="H345" i="16" s="1"/>
  <c r="A329" i="16"/>
  <c r="H329" i="16" s="1"/>
  <c r="A313" i="16"/>
  <c r="H313" i="16" s="1"/>
  <c r="A297" i="16"/>
  <c r="H297" i="16" s="1"/>
  <c r="A281" i="16"/>
  <c r="H281" i="16" s="1"/>
  <c r="A265" i="16"/>
  <c r="H265" i="16" s="1"/>
  <c r="A249" i="16"/>
  <c r="H249" i="16" s="1"/>
  <c r="A402" i="16"/>
  <c r="H402" i="16" s="1"/>
  <c r="A325" i="16"/>
  <c r="H325" i="16" s="1"/>
  <c r="A261" i="16"/>
  <c r="H261" i="16" s="1"/>
  <c r="A277" i="16"/>
  <c r="H277" i="16" s="1"/>
  <c r="A373" i="16"/>
  <c r="H373" i="16" s="1"/>
  <c r="A309" i="16"/>
  <c r="H309" i="16" s="1"/>
  <c r="A245" i="16"/>
  <c r="H245" i="16" s="1"/>
  <c r="A341" i="16"/>
  <c r="H341" i="16" s="1"/>
  <c r="A357" i="16"/>
  <c r="H357" i="16" s="1"/>
  <c r="A293" i="16"/>
  <c r="H293" i="16" s="1"/>
  <c r="A466" i="16"/>
  <c r="H466" i="16" s="1"/>
  <c r="S23" i="2"/>
  <c r="D479" i="16"/>
  <c r="K479" i="16" s="1"/>
  <c r="D415" i="16"/>
  <c r="K415" i="16" s="1"/>
  <c r="D351" i="16"/>
  <c r="K351" i="16" s="1"/>
  <c r="D287" i="16"/>
  <c r="K287" i="16" s="1"/>
  <c r="D223" i="16"/>
  <c r="K223" i="16" s="1"/>
  <c r="D159" i="16"/>
  <c r="K159" i="16" s="1"/>
  <c r="D95" i="16"/>
  <c r="K95" i="16" s="1"/>
  <c r="D31" i="16"/>
  <c r="K31" i="16" s="1"/>
  <c r="D463" i="16"/>
  <c r="K463" i="16" s="1"/>
  <c r="D399" i="16"/>
  <c r="K399" i="16" s="1"/>
  <c r="D335" i="16"/>
  <c r="K335" i="16" s="1"/>
  <c r="D271" i="16"/>
  <c r="K271" i="16" s="1"/>
  <c r="D207" i="16"/>
  <c r="K207" i="16" s="1"/>
  <c r="D143" i="16"/>
  <c r="K143" i="16" s="1"/>
  <c r="D79" i="16"/>
  <c r="K79" i="16" s="1"/>
  <c r="D15" i="16"/>
  <c r="K15" i="16" s="1"/>
  <c r="D447" i="16"/>
  <c r="K447" i="16" s="1"/>
  <c r="D383" i="16"/>
  <c r="K383" i="16" s="1"/>
  <c r="D319" i="16"/>
  <c r="K319" i="16" s="1"/>
  <c r="D255" i="16"/>
  <c r="K255" i="16" s="1"/>
  <c r="D191" i="16"/>
  <c r="K191" i="16" s="1"/>
  <c r="D127" i="16"/>
  <c r="K127" i="16" s="1"/>
  <c r="D63" i="16"/>
  <c r="K63" i="16" s="1"/>
  <c r="D431" i="16"/>
  <c r="K431" i="16" s="1"/>
  <c r="D367" i="16"/>
  <c r="K367" i="16" s="1"/>
  <c r="D303" i="16"/>
  <c r="K303" i="16" s="1"/>
  <c r="D239" i="16"/>
  <c r="K239" i="16" s="1"/>
  <c r="D175" i="16"/>
  <c r="K175" i="16" s="1"/>
  <c r="D111" i="16"/>
  <c r="K111" i="16" s="1"/>
  <c r="D47" i="16"/>
  <c r="K47" i="16" s="1"/>
  <c r="A17" i="1"/>
  <c r="F45" i="1"/>
  <c r="K83" i="16"/>
  <c r="AT46" i="2"/>
  <c r="K355" i="16"/>
  <c r="K227" i="16"/>
  <c r="K99" i="16"/>
  <c r="K435" i="16"/>
  <c r="K307" i="16"/>
  <c r="K179" i="16"/>
  <c r="K51" i="16"/>
  <c r="J428" i="16"/>
  <c r="J412" i="16"/>
  <c r="J348" i="16"/>
  <c r="J323" i="16"/>
  <c r="J427" i="16"/>
  <c r="J411" i="16"/>
  <c r="J347" i="16"/>
  <c r="J268" i="16"/>
  <c r="J426" i="16"/>
  <c r="J410" i="16"/>
  <c r="J346" i="16"/>
  <c r="J264" i="16"/>
  <c r="J425" i="16"/>
  <c r="J409" i="16"/>
  <c r="J345" i="16"/>
  <c r="J260" i="16"/>
  <c r="J184" i="16"/>
  <c r="J168" i="16"/>
  <c r="J104" i="16"/>
  <c r="J88" i="16"/>
  <c r="J24" i="16"/>
  <c r="J8" i="16"/>
  <c r="J263" i="16"/>
  <c r="J247" i="16"/>
  <c r="J183" i="16"/>
  <c r="J167" i="16"/>
  <c r="J103" i="16"/>
  <c r="J87" i="16"/>
  <c r="J23" i="16"/>
  <c r="J7" i="16"/>
  <c r="J334" i="16"/>
  <c r="J270" i="16"/>
  <c r="J254" i="16"/>
  <c r="J190" i="16"/>
  <c r="J174" i="16"/>
  <c r="J110" i="16"/>
  <c r="J94" i="16"/>
  <c r="J30" i="16"/>
  <c r="J14" i="16"/>
  <c r="J333" i="16"/>
  <c r="J269" i="16"/>
  <c r="J253" i="16"/>
  <c r="J189" i="16"/>
  <c r="J173" i="16"/>
  <c r="J109" i="16"/>
  <c r="J93" i="16"/>
  <c r="J29" i="16"/>
  <c r="J13" i="16"/>
  <c r="K242" i="16"/>
  <c r="K451" i="16"/>
  <c r="K323" i="16"/>
  <c r="K195" i="16"/>
  <c r="K67" i="16"/>
  <c r="K403" i="16"/>
  <c r="K275" i="16"/>
  <c r="K147" i="16"/>
  <c r="K19" i="16"/>
  <c r="J424" i="16"/>
  <c r="J408" i="16"/>
  <c r="J344" i="16"/>
  <c r="J272" i="16"/>
  <c r="J423" i="16"/>
  <c r="J407" i="16"/>
  <c r="J343" i="16"/>
  <c r="J252" i="16"/>
  <c r="J422" i="16"/>
  <c r="J406" i="16"/>
  <c r="J341" i="16"/>
  <c r="J248" i="16"/>
  <c r="J421" i="16"/>
  <c r="J405" i="16"/>
  <c r="J340" i="16"/>
  <c r="J244" i="16"/>
  <c r="J180" i="16"/>
  <c r="J164" i="16"/>
  <c r="J100" i="16"/>
  <c r="J84" i="16"/>
  <c r="J20" i="16"/>
  <c r="J4" i="16"/>
  <c r="J259" i="16"/>
  <c r="J243" i="16"/>
  <c r="J179" i="16"/>
  <c r="J163" i="16"/>
  <c r="J99" i="16"/>
  <c r="J83" i="16"/>
  <c r="J19" i="16"/>
  <c r="J3" i="16"/>
  <c r="J330" i="16"/>
  <c r="J266" i="16"/>
  <c r="J250" i="16"/>
  <c r="J186" i="16"/>
  <c r="J170" i="16"/>
  <c r="J106" i="16"/>
  <c r="J90" i="16"/>
  <c r="J26" i="16"/>
  <c r="J10" i="16"/>
  <c r="J329" i="16"/>
  <c r="J265" i="16"/>
  <c r="J249" i="16"/>
  <c r="J185" i="16"/>
  <c r="J169" i="16"/>
  <c r="J105" i="16"/>
  <c r="J89" i="16"/>
  <c r="J25" i="16"/>
  <c r="J9" i="16"/>
  <c r="K466" i="16"/>
  <c r="K419" i="16"/>
  <c r="K291" i="16"/>
  <c r="K163" i="16"/>
  <c r="K35" i="16"/>
  <c r="K371" i="16"/>
  <c r="K243" i="16"/>
  <c r="K115" i="16"/>
  <c r="J420" i="16"/>
  <c r="J404" i="16"/>
  <c r="J339" i="16"/>
  <c r="J256" i="16"/>
  <c r="J419" i="16"/>
  <c r="J403" i="16"/>
  <c r="J336" i="16"/>
  <c r="J2" i="16"/>
  <c r="J418" i="16"/>
  <c r="J402" i="16"/>
  <c r="J335" i="16"/>
  <c r="J433" i="16"/>
  <c r="J417" i="16"/>
  <c r="J353" i="16"/>
  <c r="J332" i="16"/>
  <c r="J192" i="16"/>
  <c r="J176" i="16"/>
  <c r="J112" i="16"/>
  <c r="J96" i="16"/>
  <c r="J32" i="16"/>
  <c r="J16" i="16"/>
  <c r="J271" i="16"/>
  <c r="J255" i="16"/>
  <c r="J191" i="16"/>
  <c r="J175" i="16"/>
  <c r="J111" i="16"/>
  <c r="J95" i="16"/>
  <c r="J31" i="16"/>
  <c r="J15" i="16"/>
  <c r="J342" i="16"/>
  <c r="J326" i="16"/>
  <c r="J262" i="16"/>
  <c r="J246" i="16"/>
  <c r="J182" i="16"/>
  <c r="J166" i="16"/>
  <c r="J102" i="16"/>
  <c r="J86" i="16"/>
  <c r="J22" i="16"/>
  <c r="J6" i="16"/>
  <c r="J325" i="16"/>
  <c r="J261" i="16"/>
  <c r="J245" i="16"/>
  <c r="J181" i="16"/>
  <c r="J165" i="16"/>
  <c r="J101" i="16"/>
  <c r="J85" i="16"/>
  <c r="J21" i="16"/>
  <c r="J5" i="16"/>
  <c r="K434" i="16"/>
  <c r="K387" i="16"/>
  <c r="K259" i="16"/>
  <c r="K131" i="16"/>
  <c r="K3" i="16"/>
  <c r="K467" i="16"/>
  <c r="K339" i="16"/>
  <c r="K211" i="16"/>
  <c r="J432" i="16"/>
  <c r="J416" i="16"/>
  <c r="J352" i="16"/>
  <c r="J331" i="16"/>
  <c r="J431" i="16"/>
  <c r="J415" i="16"/>
  <c r="J351" i="16"/>
  <c r="J328" i="16"/>
  <c r="J430" i="16"/>
  <c r="J414" i="16"/>
  <c r="J350" i="16"/>
  <c r="J327" i="16"/>
  <c r="J429" i="16"/>
  <c r="J413" i="16"/>
  <c r="J349" i="16"/>
  <c r="J324" i="16"/>
  <c r="J188" i="16"/>
  <c r="J172" i="16"/>
  <c r="J108" i="16"/>
  <c r="J92" i="16"/>
  <c r="J28" i="16"/>
  <c r="J12" i="16"/>
  <c r="J267" i="16"/>
  <c r="J251" i="16"/>
  <c r="J187" i="16"/>
  <c r="J171" i="16"/>
  <c r="J107" i="16"/>
  <c r="J91" i="16"/>
  <c r="J27" i="16"/>
  <c r="J11" i="16"/>
  <c r="J338" i="16"/>
  <c r="J322" i="16"/>
  <c r="J258" i="16"/>
  <c r="J242" i="16"/>
  <c r="J178" i="16"/>
  <c r="J162" i="16"/>
  <c r="J98" i="16"/>
  <c r="J82" i="16"/>
  <c r="J18" i="16"/>
  <c r="J337" i="16"/>
  <c r="J273" i="16"/>
  <c r="J257" i="16"/>
  <c r="J193" i="16"/>
  <c r="J177" i="16"/>
  <c r="J113" i="16"/>
  <c r="J97" i="16"/>
  <c r="J33" i="16"/>
  <c r="J17" i="16"/>
  <c r="J472" i="16"/>
  <c r="J315" i="16"/>
  <c r="J387" i="16"/>
  <c r="J466" i="16"/>
  <c r="J467" i="16"/>
  <c r="W2" i="16"/>
  <c r="J81" i="16"/>
  <c r="J161" i="16"/>
  <c r="J241" i="16"/>
  <c r="J321" i="16"/>
  <c r="J66" i="16"/>
  <c r="J146" i="16"/>
  <c r="J226" i="16"/>
  <c r="J306" i="16"/>
  <c r="J75" i="16"/>
  <c r="J155" i="16"/>
  <c r="J235" i="16"/>
  <c r="J72" i="16"/>
  <c r="J152" i="16"/>
  <c r="J228" i="16"/>
  <c r="J316" i="16"/>
  <c r="J393" i="16"/>
  <c r="J473" i="16"/>
  <c r="J232" i="16"/>
  <c r="J319" i="16"/>
  <c r="J394" i="16"/>
  <c r="J474" i="16"/>
  <c r="J236" i="16"/>
  <c r="J320" i="16"/>
  <c r="J395" i="16"/>
  <c r="J475" i="16"/>
  <c r="J400" i="16"/>
  <c r="J480" i="16"/>
  <c r="J69" i="16"/>
  <c r="J149" i="16"/>
  <c r="J229" i="16"/>
  <c r="J309" i="16"/>
  <c r="J70" i="16"/>
  <c r="J150" i="16"/>
  <c r="J230" i="16"/>
  <c r="J310" i="16"/>
  <c r="J79" i="16"/>
  <c r="J159" i="16"/>
  <c r="J239" i="16"/>
  <c r="J76" i="16"/>
  <c r="J156" i="16"/>
  <c r="J397" i="16"/>
  <c r="J477" i="16"/>
  <c r="J398" i="16"/>
  <c r="J478" i="16"/>
  <c r="J399" i="16"/>
  <c r="J479" i="16"/>
  <c r="J307" i="16"/>
  <c r="J388" i="16"/>
  <c r="J468" i="16"/>
  <c r="J73" i="16"/>
  <c r="J153" i="16"/>
  <c r="J233" i="16"/>
  <c r="J313" i="16"/>
  <c r="J74" i="16"/>
  <c r="J154" i="16"/>
  <c r="J234" i="16"/>
  <c r="J314" i="16"/>
  <c r="J67" i="16"/>
  <c r="J147" i="16"/>
  <c r="J227" i="16"/>
  <c r="J80" i="16"/>
  <c r="J160" i="16"/>
  <c r="J401" i="16"/>
  <c r="J481" i="16"/>
  <c r="J386" i="16"/>
  <c r="J77" i="16"/>
  <c r="J157" i="16"/>
  <c r="J237" i="16"/>
  <c r="J317" i="16"/>
  <c r="J78" i="16"/>
  <c r="J158" i="16"/>
  <c r="J238" i="16"/>
  <c r="J318" i="16"/>
  <c r="J71" i="16"/>
  <c r="J151" i="16"/>
  <c r="J231" i="16"/>
  <c r="J68" i="16"/>
  <c r="J148" i="16"/>
  <c r="J308" i="16"/>
  <c r="J389" i="16"/>
  <c r="J469" i="16"/>
  <c r="J311" i="16"/>
  <c r="J390" i="16"/>
  <c r="J470" i="16"/>
  <c r="J312" i="16"/>
  <c r="J391" i="16"/>
  <c r="J471" i="16"/>
  <c r="J240" i="16"/>
  <c r="J396" i="16"/>
  <c r="J476" i="16"/>
  <c r="J392" i="16"/>
  <c r="W4" i="16"/>
  <c r="W5" i="16"/>
  <c r="S22" i="2"/>
  <c r="AT51" i="2" s="1"/>
  <c r="AV51" i="2" s="1"/>
  <c r="K5" i="16"/>
  <c r="K55" i="16"/>
  <c r="K133" i="16"/>
  <c r="K183" i="16"/>
  <c r="K261" i="16"/>
  <c r="K311" i="16"/>
  <c r="K389" i="16"/>
  <c r="K439" i="16"/>
  <c r="K88" i="16"/>
  <c r="K216" i="16"/>
  <c r="K344" i="16"/>
  <c r="K472" i="16"/>
  <c r="K39" i="16"/>
  <c r="K117" i="16"/>
  <c r="K167" i="16"/>
  <c r="K245" i="16"/>
  <c r="K295" i="16"/>
  <c r="K373" i="16"/>
  <c r="K423" i="16"/>
  <c r="K72" i="16"/>
  <c r="K200" i="16"/>
  <c r="K328" i="16"/>
  <c r="K456" i="16"/>
  <c r="K17" i="16"/>
  <c r="K49" i="16"/>
  <c r="K81" i="16"/>
  <c r="K113" i="16"/>
  <c r="K145" i="16"/>
  <c r="K177" i="16"/>
  <c r="K209" i="16"/>
  <c r="K241" i="16"/>
  <c r="K273" i="16"/>
  <c r="K305" i="16"/>
  <c r="K337" i="16"/>
  <c r="K369" i="16"/>
  <c r="K401" i="16"/>
  <c r="K433" i="16"/>
  <c r="K465" i="16"/>
  <c r="K30" i="16"/>
  <c r="K94" i="16"/>
  <c r="K158" i="16"/>
  <c r="K222" i="16"/>
  <c r="K286" i="16"/>
  <c r="K350" i="16"/>
  <c r="K414" i="16"/>
  <c r="K478" i="16"/>
  <c r="K37" i="16"/>
  <c r="K87" i="16"/>
  <c r="K165" i="16"/>
  <c r="K215" i="16"/>
  <c r="K293" i="16"/>
  <c r="K343" i="16"/>
  <c r="K421" i="16"/>
  <c r="K471" i="16"/>
  <c r="K120" i="16"/>
  <c r="K248" i="16"/>
  <c r="K376" i="16"/>
  <c r="K21" i="16"/>
  <c r="K71" i="16"/>
  <c r="K149" i="16"/>
  <c r="K199" i="16"/>
  <c r="K277" i="16"/>
  <c r="K327" i="16"/>
  <c r="K405" i="16"/>
  <c r="K455" i="16"/>
  <c r="K104" i="16"/>
  <c r="K232" i="16"/>
  <c r="K360" i="16"/>
  <c r="K29" i="16"/>
  <c r="K61" i="16"/>
  <c r="K93" i="16"/>
  <c r="K125" i="16"/>
  <c r="K157" i="16"/>
  <c r="K189" i="16"/>
  <c r="K221" i="16"/>
  <c r="K253" i="16"/>
  <c r="K285" i="16"/>
  <c r="K317" i="16"/>
  <c r="K349" i="16"/>
  <c r="K381" i="16"/>
  <c r="K413" i="16"/>
  <c r="K445" i="16"/>
  <c r="K477" i="16"/>
  <c r="K46" i="16"/>
  <c r="K110" i="16"/>
  <c r="K174" i="16"/>
  <c r="K238" i="16"/>
  <c r="K302" i="16"/>
  <c r="K366" i="16"/>
  <c r="K430" i="16"/>
  <c r="K69" i="16"/>
  <c r="K119" i="16"/>
  <c r="K197" i="16"/>
  <c r="K247" i="16"/>
  <c r="K325" i="16"/>
  <c r="K375" i="16"/>
  <c r="K453" i="16"/>
  <c r="K24" i="16"/>
  <c r="K152" i="16"/>
  <c r="K280" i="16"/>
  <c r="K408" i="16"/>
  <c r="K53" i="16"/>
  <c r="K103" i="16"/>
  <c r="K181" i="16"/>
  <c r="K231" i="16"/>
  <c r="K309" i="16"/>
  <c r="K359" i="16"/>
  <c r="K437" i="16"/>
  <c r="K8" i="16"/>
  <c r="K136" i="16"/>
  <c r="K264" i="16"/>
  <c r="K392" i="16"/>
  <c r="K33" i="16"/>
  <c r="K65" i="16"/>
  <c r="K97" i="16"/>
  <c r="K129" i="16"/>
  <c r="K161" i="16"/>
  <c r="K193" i="16"/>
  <c r="K225" i="16"/>
  <c r="K257" i="16"/>
  <c r="K289" i="16"/>
  <c r="K321" i="16"/>
  <c r="K353" i="16"/>
  <c r="K385" i="16"/>
  <c r="K417" i="16"/>
  <c r="K449" i="16"/>
  <c r="K481" i="16"/>
  <c r="K62" i="16"/>
  <c r="K126" i="16"/>
  <c r="K190" i="16"/>
  <c r="K254" i="16"/>
  <c r="K318" i="16"/>
  <c r="K382" i="16"/>
  <c r="K446" i="16"/>
  <c r="K23" i="16"/>
  <c r="K101" i="16"/>
  <c r="K151" i="16"/>
  <c r="K229" i="16"/>
  <c r="K279" i="16"/>
  <c r="K357" i="16"/>
  <c r="K407" i="16"/>
  <c r="K56" i="16"/>
  <c r="K184" i="16"/>
  <c r="K312" i="16"/>
  <c r="K440" i="16"/>
  <c r="K7" i="16"/>
  <c r="K85" i="16"/>
  <c r="K135" i="16"/>
  <c r="K213" i="16"/>
  <c r="K263" i="16"/>
  <c r="K341" i="16"/>
  <c r="K391" i="16"/>
  <c r="K469" i="16"/>
  <c r="K40" i="16"/>
  <c r="K168" i="16"/>
  <c r="K296" i="16"/>
  <c r="K424" i="16"/>
  <c r="K13" i="16"/>
  <c r="K45" i="16"/>
  <c r="K77" i="16"/>
  <c r="K109" i="16"/>
  <c r="K141" i="16"/>
  <c r="K173" i="16"/>
  <c r="K205" i="16"/>
  <c r="K237" i="16"/>
  <c r="K269" i="16"/>
  <c r="K301" i="16"/>
  <c r="K333" i="16"/>
  <c r="K365" i="16"/>
  <c r="K397" i="16"/>
  <c r="K429" i="16"/>
  <c r="K461" i="16"/>
  <c r="K14" i="16"/>
  <c r="K78" i="16"/>
  <c r="K142" i="16"/>
  <c r="K476" i="16"/>
  <c r="K444" i="16"/>
  <c r="K412" i="16"/>
  <c r="K380" i="16"/>
  <c r="K348" i="16"/>
  <c r="K316" i="16"/>
  <c r="K284" i="16"/>
  <c r="K252" i="16"/>
  <c r="K220" i="16"/>
  <c r="K188" i="16"/>
  <c r="K156" i="16"/>
  <c r="K124" i="16"/>
  <c r="K92" i="16"/>
  <c r="K60" i="16"/>
  <c r="K28" i="16"/>
  <c r="K462" i="16"/>
  <c r="K206" i="16"/>
  <c r="K464" i="16"/>
  <c r="K432" i="16"/>
  <c r="K400" i="16"/>
  <c r="K368" i="16"/>
  <c r="K336" i="16"/>
  <c r="K304" i="16"/>
  <c r="K272" i="16"/>
  <c r="K240" i="16"/>
  <c r="K208" i="16"/>
  <c r="K176" i="16"/>
  <c r="K144" i="16"/>
  <c r="K112" i="16"/>
  <c r="K80" i="16"/>
  <c r="K48" i="16"/>
  <c r="K16" i="16"/>
  <c r="K398" i="16"/>
  <c r="K460" i="16"/>
  <c r="K428" i="16"/>
  <c r="K396" i="16"/>
  <c r="K364" i="16"/>
  <c r="K332" i="16"/>
  <c r="K300" i="16"/>
  <c r="K268" i="16"/>
  <c r="K236" i="16"/>
  <c r="K204" i="16"/>
  <c r="K172" i="16"/>
  <c r="K140" i="16"/>
  <c r="K108" i="16"/>
  <c r="K76" i="16"/>
  <c r="K44" i="16"/>
  <c r="K12" i="16"/>
  <c r="K334" i="16"/>
  <c r="K480" i="16"/>
  <c r="K448" i="16"/>
  <c r="K416" i="16"/>
  <c r="K384" i="16"/>
  <c r="K352" i="16"/>
  <c r="K320" i="16"/>
  <c r="K288" i="16"/>
  <c r="K256" i="16"/>
  <c r="K224" i="16"/>
  <c r="K192" i="16"/>
  <c r="K160" i="16"/>
  <c r="K128" i="16"/>
  <c r="K96" i="16"/>
  <c r="K64" i="16"/>
  <c r="K32" i="16"/>
  <c r="K270" i="16"/>
  <c r="AR5" i="2"/>
  <c r="AV52" i="2"/>
  <c r="D25" i="1"/>
  <c r="B46" i="1"/>
  <c r="F35" i="1"/>
  <c r="G45" i="1"/>
  <c r="H45" i="1"/>
  <c r="D45" i="1"/>
  <c r="J35" i="1"/>
  <c r="I46" i="1"/>
  <c r="J24" i="1"/>
  <c r="A59" i="1"/>
  <c r="AO36" i="2" s="1"/>
  <c r="AV6" i="2"/>
  <c r="E46" i="1"/>
  <c r="D34" i="1"/>
  <c r="E47" i="1"/>
  <c r="F26" i="1"/>
  <c r="F34" i="1"/>
  <c r="H46" i="1"/>
  <c r="F36" i="1"/>
  <c r="B45" i="1"/>
  <c r="D35" i="1"/>
  <c r="D47" i="1"/>
  <c r="F25" i="1"/>
  <c r="C46" i="1"/>
  <c r="D46" i="1"/>
  <c r="F46" i="1"/>
  <c r="E45" i="1"/>
  <c r="J34" i="1"/>
  <c r="G46" i="1"/>
  <c r="E59" i="1"/>
  <c r="D20" i="4"/>
  <c r="D66" i="4"/>
  <c r="AH2" i="2"/>
  <c r="E66" i="4"/>
  <c r="E70" i="4" s="1"/>
  <c r="E20" i="4"/>
  <c r="F20" i="4"/>
  <c r="G66" i="4"/>
  <c r="J33" i="1" s="1"/>
  <c r="F66" i="4"/>
  <c r="E90" i="4"/>
  <c r="F54" i="1"/>
  <c r="G54" i="1"/>
  <c r="C54" i="1"/>
  <c r="A54" i="1"/>
  <c r="D54" i="1"/>
  <c r="D30" i="4"/>
  <c r="G86" i="4"/>
  <c r="E76" i="4"/>
  <c r="E80" i="4" s="1"/>
  <c r="G40" i="4"/>
  <c r="G30" i="4"/>
  <c r="G76" i="4"/>
  <c r="F30" i="4"/>
  <c r="E30" i="4"/>
  <c r="D76" i="4"/>
  <c r="F76" i="4"/>
  <c r="F68" i="4"/>
  <c r="F22" i="4"/>
  <c r="G10" i="4"/>
  <c r="F56" i="4"/>
  <c r="E10" i="4"/>
  <c r="F10" i="4"/>
  <c r="G56" i="4"/>
  <c r="D56" i="4"/>
  <c r="E56" i="4"/>
  <c r="E60" i="4" s="1"/>
  <c r="D10" i="4"/>
  <c r="F58" i="4"/>
  <c r="F12" i="4"/>
  <c r="F67" i="4"/>
  <c r="F21" i="4"/>
  <c r="D79" i="4"/>
  <c r="D59" i="4"/>
  <c r="D33" i="4"/>
  <c r="D89" i="4"/>
  <c r="D90" i="4" s="1"/>
  <c r="D23" i="4"/>
  <c r="D69" i="4"/>
  <c r="D13" i="4"/>
  <c r="F69" i="4"/>
  <c r="G89" i="4"/>
  <c r="G69" i="4"/>
  <c r="G59" i="4"/>
  <c r="F79" i="4"/>
  <c r="F33" i="4"/>
  <c r="G79" i="4"/>
  <c r="H89" i="4"/>
  <c r="H90" i="4" s="1"/>
  <c r="F89" i="4"/>
  <c r="F90" i="4" s="1"/>
  <c r="F23" i="4"/>
  <c r="D43" i="4"/>
  <c r="G23" i="4"/>
  <c r="G13" i="4"/>
  <c r="F13" i="4"/>
  <c r="H43" i="4"/>
  <c r="H79" i="4"/>
  <c r="H80" i="4" s="1"/>
  <c r="H33" i="4"/>
  <c r="G33" i="4"/>
  <c r="F59" i="4"/>
  <c r="K97" i="2"/>
  <c r="D97" i="2" s="1"/>
  <c r="M97" i="2"/>
  <c r="G44" i="1"/>
  <c r="E44" i="1"/>
  <c r="E44" i="4"/>
  <c r="C44" i="1"/>
  <c r="I44" i="1"/>
  <c r="K44" i="1"/>
  <c r="F44" i="4"/>
  <c r="AT36" i="2" l="1"/>
  <c r="AV36" i="2" s="1"/>
  <c r="L402" i="16"/>
  <c r="L451" i="16"/>
  <c r="L76" i="16"/>
  <c r="L164" i="16"/>
  <c r="L3" i="16"/>
  <c r="L26" i="16"/>
  <c r="L60" i="16"/>
  <c r="L290" i="16"/>
  <c r="L284" i="16"/>
  <c r="L258" i="16"/>
  <c r="L2" i="16"/>
  <c r="L173" i="16"/>
  <c r="L45" i="16"/>
  <c r="L168" i="16"/>
  <c r="L40" i="16"/>
  <c r="L4" i="16"/>
  <c r="L59" i="16"/>
  <c r="L211" i="16"/>
  <c r="L412" i="16"/>
  <c r="L397" i="16"/>
  <c r="L269" i="16"/>
  <c r="L213" i="16"/>
  <c r="L56" i="16"/>
  <c r="L379" i="16"/>
  <c r="L413" i="16"/>
  <c r="L232" i="16"/>
  <c r="L421" i="16"/>
  <c r="L177" i="16"/>
  <c r="L378" i="16"/>
  <c r="L250" i="16"/>
  <c r="L133" i="16"/>
  <c r="L5" i="16"/>
  <c r="L242" i="16"/>
  <c r="L67" i="16"/>
  <c r="L130" i="16"/>
  <c r="L111" i="16"/>
  <c r="L255" i="16"/>
  <c r="L188" i="16"/>
  <c r="L14" i="16"/>
  <c r="L218" i="16"/>
  <c r="L90" i="16"/>
  <c r="L6" i="16"/>
  <c r="L101" i="16"/>
  <c r="L408" i="16"/>
  <c r="L302" i="16"/>
  <c r="L20" i="16"/>
  <c r="L273" i="16"/>
  <c r="L228" i="16"/>
  <c r="L351" i="16"/>
  <c r="L175" i="16"/>
  <c r="L92" i="16"/>
  <c r="L333" i="16"/>
  <c r="L205" i="16"/>
  <c r="L477" i="16"/>
  <c r="L349" i="16"/>
  <c r="L376" i="16"/>
  <c r="L248" i="16"/>
  <c r="L113" i="16"/>
  <c r="L267" i="16"/>
  <c r="L244" i="16"/>
  <c r="L403" i="16"/>
  <c r="L12" i="16"/>
  <c r="L383" i="16"/>
  <c r="L124" i="16"/>
  <c r="L424" i="16"/>
  <c r="L296" i="16"/>
  <c r="L235" i="16"/>
  <c r="L107" i="16"/>
  <c r="L23" i="16"/>
  <c r="L289" i="16"/>
  <c r="L264" i="16"/>
  <c r="L69" i="16"/>
  <c r="L174" i="16"/>
  <c r="L121" i="16"/>
  <c r="L70" i="16"/>
  <c r="L27" i="16"/>
  <c r="L35" i="16"/>
  <c r="L66" i="16"/>
  <c r="L479" i="16"/>
  <c r="L334" i="16"/>
  <c r="L303" i="16"/>
  <c r="L172" i="16"/>
  <c r="L28" i="16"/>
  <c r="L78" i="16"/>
  <c r="L13" i="16"/>
  <c r="L118" i="16"/>
  <c r="L440" i="16"/>
  <c r="L312" i="16"/>
  <c r="L257" i="16"/>
  <c r="L214" i="16"/>
  <c r="L86" i="16"/>
  <c r="L331" i="16"/>
  <c r="L203" i="16"/>
  <c r="L308" i="16"/>
  <c r="L52" i="16"/>
  <c r="L366" i="16"/>
  <c r="L110" i="16"/>
  <c r="L29" i="16"/>
  <c r="L360" i="16"/>
  <c r="L104" i="16"/>
  <c r="L327" i="16"/>
  <c r="L199" i="16"/>
  <c r="L71" i="16"/>
  <c r="L426" i="16"/>
  <c r="L298" i="16"/>
  <c r="L293" i="16"/>
  <c r="L165" i="16"/>
  <c r="L37" i="16"/>
  <c r="L305" i="16"/>
  <c r="L49" i="16"/>
  <c r="L122" i="16"/>
  <c r="L217" i="16"/>
  <c r="L89" i="16"/>
  <c r="L38" i="16"/>
  <c r="L261" i="16"/>
  <c r="L323" i="16"/>
  <c r="L450" i="16"/>
  <c r="L370" i="16"/>
  <c r="L338" i="16"/>
  <c r="L322" i="16"/>
  <c r="L274" i="16"/>
  <c r="L243" i="16"/>
  <c r="L83" i="16"/>
  <c r="L19" i="16"/>
  <c r="L18" i="16"/>
  <c r="L371" i="16"/>
  <c r="L50" i="16"/>
  <c r="L387" i="16"/>
  <c r="L163" i="16"/>
  <c r="L467" i="16"/>
  <c r="L259" i="16"/>
  <c r="L270" i="16"/>
  <c r="L109" i="16"/>
  <c r="L185" i="16"/>
  <c r="L31" i="16"/>
  <c r="L254" i="16"/>
  <c r="L181" i="16"/>
  <c r="L24" i="16"/>
  <c r="L171" i="16"/>
  <c r="L43" i="16"/>
  <c r="L9" i="16"/>
  <c r="L94" i="16"/>
  <c r="L145" i="16"/>
  <c r="L17" i="16"/>
  <c r="L100" i="16"/>
  <c r="L10" i="16"/>
  <c r="L115" i="16"/>
  <c r="L77" i="16"/>
  <c r="L7" i="16"/>
  <c r="L201" i="16"/>
  <c r="L73" i="16"/>
  <c r="L65" i="16"/>
  <c r="L420" i="16"/>
  <c r="L25" i="16"/>
  <c r="L93" i="16"/>
  <c r="L30" i="16"/>
  <c r="L369" i="16"/>
  <c r="L195" i="16"/>
  <c r="L212" i="16"/>
  <c r="L136" i="16"/>
  <c r="L8" i="16"/>
  <c r="L202" i="16"/>
  <c r="L74" i="16"/>
  <c r="L81" i="16"/>
  <c r="L22" i="16"/>
  <c r="L117" i="16"/>
  <c r="L88" i="16"/>
  <c r="L155" i="16"/>
  <c r="L355" i="16"/>
  <c r="L178" i="16"/>
  <c r="L99" i="16"/>
  <c r="L162" i="16"/>
  <c r="L466" i="16"/>
  <c r="L306" i="16"/>
  <c r="L419" i="16"/>
  <c r="L223" i="16"/>
  <c r="L287" i="16"/>
  <c r="L272" i="16"/>
  <c r="L400" i="16"/>
  <c r="L335" i="16"/>
  <c r="L313" i="16"/>
  <c r="L390" i="16"/>
  <c r="L262" i="16"/>
  <c r="L134" i="16"/>
  <c r="L229" i="16"/>
  <c r="L186" i="16"/>
  <c r="L152" i="16"/>
  <c r="L79" i="16"/>
  <c r="L46" i="16"/>
  <c r="L182" i="16"/>
  <c r="L137" i="16"/>
  <c r="L401" i="16"/>
  <c r="L138" i="16"/>
  <c r="L47" i="16"/>
  <c r="L143" i="16"/>
  <c r="L234" i="16"/>
  <c r="L292" i="16"/>
  <c r="L230" i="16"/>
  <c r="L91" i="16"/>
  <c r="L15" i="16"/>
  <c r="L221" i="16"/>
  <c r="L410" i="16"/>
  <c r="L139" i="16"/>
  <c r="L116" i="16"/>
  <c r="L183" i="16"/>
  <c r="L131" i="16"/>
  <c r="L34" i="16"/>
  <c r="L192" i="16"/>
  <c r="L48" i="16"/>
  <c r="L176" i="16"/>
  <c r="L220" i="16"/>
  <c r="L452" i="16"/>
  <c r="L324" i="16"/>
  <c r="L135" i="16"/>
  <c r="L362" i="16"/>
  <c r="L106" i="16"/>
  <c r="L446" i="16"/>
  <c r="L190" i="16"/>
  <c r="L193" i="16"/>
  <c r="L102" i="16"/>
  <c r="L238" i="16"/>
  <c r="L21" i="16"/>
  <c r="L120" i="16"/>
  <c r="L456" i="16"/>
  <c r="L328" i="16"/>
  <c r="L372" i="16"/>
  <c r="L418" i="16"/>
  <c r="L386" i="16"/>
  <c r="L354" i="16"/>
  <c r="L275" i="16"/>
  <c r="L64" i="16"/>
  <c r="L108" i="16"/>
  <c r="L198" i="16"/>
  <c r="L128" i="16"/>
  <c r="L44" i="16"/>
  <c r="L300" i="16"/>
  <c r="L428" i="16"/>
  <c r="L191" i="16"/>
  <c r="L112" i="16"/>
  <c r="L206" i="16"/>
  <c r="L156" i="16"/>
  <c r="L141" i="16"/>
  <c r="L469" i="16"/>
  <c r="L341" i="16"/>
  <c r="L85" i="16"/>
  <c r="L184" i="16"/>
  <c r="L123" i="16"/>
  <c r="L95" i="16"/>
  <c r="L62" i="16"/>
  <c r="L385" i="16"/>
  <c r="L129" i="16"/>
  <c r="L459" i="16"/>
  <c r="L75" i="16"/>
  <c r="L436" i="16"/>
  <c r="L180" i="16"/>
  <c r="L169" i="16"/>
  <c r="L41" i="16"/>
  <c r="L285" i="16"/>
  <c r="L157" i="16"/>
  <c r="L455" i="16"/>
  <c r="L170" i="16"/>
  <c r="L42" i="16"/>
  <c r="L414" i="16"/>
  <c r="L158" i="16"/>
  <c r="L433" i="16"/>
  <c r="L166" i="16"/>
  <c r="L389" i="16"/>
  <c r="L32" i="16"/>
  <c r="L160" i="16"/>
  <c r="L288" i="16"/>
  <c r="L416" i="16"/>
  <c r="L367" i="16"/>
  <c r="L204" i="16"/>
  <c r="L332" i="16"/>
  <c r="L460" i="16"/>
  <c r="L16" i="16"/>
  <c r="L144" i="16"/>
  <c r="L462" i="16"/>
  <c r="L316" i="16"/>
  <c r="L444" i="16"/>
  <c r="L365" i="16"/>
  <c r="L237" i="16"/>
  <c r="L474" i="16"/>
  <c r="L346" i="16"/>
  <c r="L441" i="16"/>
  <c r="L57" i="16"/>
  <c r="L357" i="16"/>
  <c r="L481" i="16"/>
  <c r="L353" i="16"/>
  <c r="L225" i="16"/>
  <c r="L97" i="16"/>
  <c r="L442" i="16"/>
  <c r="L314" i="16"/>
  <c r="L58" i="16"/>
  <c r="L437" i="16"/>
  <c r="L309" i="16"/>
  <c r="L53" i="16"/>
  <c r="L280" i="16"/>
  <c r="L375" i="16"/>
  <c r="L247" i="16"/>
  <c r="L119" i="16"/>
  <c r="L381" i="16"/>
  <c r="L253" i="16"/>
  <c r="L125" i="16"/>
  <c r="L54" i="16"/>
  <c r="L404" i="16"/>
  <c r="L276" i="16"/>
  <c r="L148" i="16"/>
  <c r="L356" i="16"/>
  <c r="L423" i="16"/>
  <c r="L295" i="16"/>
  <c r="L167" i="16"/>
  <c r="L394" i="16"/>
  <c r="L266" i="16"/>
  <c r="L233" i="16"/>
  <c r="L105" i="16"/>
  <c r="L339" i="16"/>
  <c r="L431" i="16"/>
  <c r="L236" i="16"/>
  <c r="L364" i="16"/>
  <c r="L476" i="16"/>
  <c r="L263" i="16"/>
  <c r="L36" i="16"/>
  <c r="L219" i="16"/>
  <c r="L277" i="16"/>
  <c r="L343" i="16"/>
  <c r="L286" i="16"/>
  <c r="L72" i="16"/>
  <c r="L55" i="16"/>
  <c r="L307" i="16"/>
  <c r="L348" i="16"/>
  <c r="L461" i="16"/>
  <c r="L321" i="16"/>
  <c r="L153" i="16"/>
  <c r="L347" i="16"/>
  <c r="L282" i="16"/>
  <c r="L154" i="16"/>
  <c r="L405" i="16"/>
  <c r="L149" i="16"/>
  <c r="L63" i="16"/>
  <c r="L200" i="16"/>
  <c r="L11" i="16"/>
  <c r="L159" i="16"/>
  <c r="L415" i="16"/>
  <c r="L96" i="16"/>
  <c r="L224" i="16"/>
  <c r="L239" i="16"/>
  <c r="L140" i="16"/>
  <c r="L268" i="16"/>
  <c r="L127" i="16"/>
  <c r="L80" i="16"/>
  <c r="L208" i="16"/>
  <c r="L207" i="16"/>
  <c r="L252" i="16"/>
  <c r="L380" i="16"/>
  <c r="L142" i="16"/>
  <c r="L429" i="16"/>
  <c r="L301" i="16"/>
  <c r="L363" i="16"/>
  <c r="L468" i="16"/>
  <c r="L340" i="16"/>
  <c r="L84" i="16"/>
  <c r="L279" i="16"/>
  <c r="L151" i="16"/>
  <c r="L382" i="16"/>
  <c r="L126" i="16"/>
  <c r="L417" i="16"/>
  <c r="L161" i="16"/>
  <c r="L33" i="16"/>
  <c r="L392" i="16"/>
  <c r="L359" i="16"/>
  <c r="L103" i="16"/>
  <c r="L458" i="16"/>
  <c r="L330" i="16"/>
  <c r="L325" i="16"/>
  <c r="L197" i="16"/>
  <c r="L445" i="16"/>
  <c r="L317" i="16"/>
  <c r="L189" i="16"/>
  <c r="L61" i="16"/>
  <c r="L388" i="16"/>
  <c r="L260" i="16"/>
  <c r="L132" i="16"/>
  <c r="L187" i="16"/>
  <c r="L150" i="16"/>
  <c r="L245" i="16"/>
  <c r="L216" i="16"/>
  <c r="L146" i="16"/>
  <c r="L210" i="16"/>
  <c r="L226" i="16"/>
  <c r="L438" i="16"/>
  <c r="L310" i="16"/>
  <c r="L427" i="16"/>
  <c r="L299" i="16"/>
  <c r="L393" i="16"/>
  <c r="L265" i="16"/>
  <c r="L350" i="16"/>
  <c r="L39" i="16"/>
  <c r="L361" i="16"/>
  <c r="L291" i="16"/>
  <c r="L435" i="16"/>
  <c r="L82" i="16"/>
  <c r="L194" i="16"/>
  <c r="L147" i="16"/>
  <c r="L98" i="16"/>
  <c r="L179" i="16"/>
  <c r="L51" i="16"/>
  <c r="L430" i="16"/>
  <c r="L443" i="16"/>
  <c r="L315" i="16"/>
  <c r="L478" i="16"/>
  <c r="L465" i="16"/>
  <c r="L337" i="16"/>
  <c r="L209" i="16"/>
  <c r="L373" i="16"/>
  <c r="L472" i="16"/>
  <c r="L344" i="16"/>
  <c r="L283" i="16"/>
  <c r="L434" i="16"/>
  <c r="L114" i="16"/>
  <c r="L227" i="16"/>
  <c r="L256" i="16"/>
  <c r="L384" i="16"/>
  <c r="L447" i="16"/>
  <c r="L240" i="16"/>
  <c r="L368" i="16"/>
  <c r="L271" i="16"/>
  <c r="L374" i="16"/>
  <c r="L246" i="16"/>
  <c r="L251" i="16"/>
  <c r="L318" i="16"/>
  <c r="L470" i="16"/>
  <c r="L342" i="16"/>
  <c r="L425" i="16"/>
  <c r="L297" i="16"/>
  <c r="L473" i="16"/>
  <c r="L345" i="16"/>
  <c r="L422" i="16"/>
  <c r="L294" i="16"/>
  <c r="L320" i="16"/>
  <c r="L448" i="16"/>
  <c r="L398" i="16"/>
  <c r="L319" i="16"/>
  <c r="L304" i="16"/>
  <c r="L432" i="16"/>
  <c r="L399" i="16"/>
  <c r="L196" i="16"/>
  <c r="L68" i="16"/>
  <c r="L391" i="16"/>
  <c r="L457" i="16"/>
  <c r="L329" i="16"/>
  <c r="L449" i="16"/>
  <c r="L409" i="16"/>
  <c r="L281" i="16"/>
  <c r="L358" i="16"/>
  <c r="L475" i="16"/>
  <c r="L471" i="16"/>
  <c r="L215" i="16"/>
  <c r="L87" i="16"/>
  <c r="L241" i="16"/>
  <c r="L311" i="16"/>
  <c r="L352" i="16"/>
  <c r="L480" i="16"/>
  <c r="L396" i="16"/>
  <c r="L336" i="16"/>
  <c r="L464" i="16"/>
  <c r="L463" i="16"/>
  <c r="L407" i="16"/>
  <c r="L231" i="16"/>
  <c r="L453" i="16"/>
  <c r="L377" i="16"/>
  <c r="L249" i="16"/>
  <c r="L454" i="16"/>
  <c r="L326" i="16"/>
  <c r="L222" i="16"/>
  <c r="L406" i="16"/>
  <c r="L278" i="16"/>
  <c r="L411" i="16"/>
  <c r="L395" i="16"/>
  <c r="L439" i="16"/>
  <c r="D33" i="1"/>
  <c r="AV16" i="2"/>
  <c r="AV5" i="2"/>
  <c r="J48" i="1"/>
  <c r="AQ36" i="2"/>
  <c r="Y49" i="6" s="1"/>
  <c r="T49" i="6"/>
  <c r="AQ53" i="2"/>
  <c r="AT53" i="2"/>
  <c r="AT14" i="2"/>
  <c r="AV14" i="2" s="1"/>
  <c r="AQ14" i="2"/>
  <c r="AT25" i="2"/>
  <c r="AT30" i="2"/>
  <c r="AQ51" i="2"/>
  <c r="AT31" i="2"/>
  <c r="AQ25" i="2"/>
  <c r="AT32" i="2"/>
  <c r="AV32" i="2" s="1"/>
  <c r="H25" i="1"/>
  <c r="I47" i="1"/>
  <c r="I49" i="1" s="1"/>
  <c r="H36" i="1"/>
  <c r="E49" i="1"/>
  <c r="D36" i="1"/>
  <c r="J36" i="1"/>
  <c r="J37" i="1" s="1"/>
  <c r="H34" i="1"/>
  <c r="H35" i="1"/>
  <c r="D23" i="1"/>
  <c r="H23" i="1"/>
  <c r="H33" i="1"/>
  <c r="C47" i="1"/>
  <c r="C49" i="1" s="1"/>
  <c r="F44" i="1"/>
  <c r="F33" i="1"/>
  <c r="F37" i="1" s="1"/>
  <c r="G47" i="1"/>
  <c r="G49" i="1" s="1"/>
  <c r="J23" i="1"/>
  <c r="H44" i="1"/>
  <c r="B44" i="1"/>
  <c r="D70" i="4"/>
  <c r="F80" i="4"/>
  <c r="E24" i="4"/>
  <c r="G70" i="4"/>
  <c r="D24" i="4"/>
  <c r="F24" i="4"/>
  <c r="K49" i="1"/>
  <c r="G60" i="4"/>
  <c r="D80" i="4"/>
  <c r="G80" i="4"/>
  <c r="D60" i="4"/>
  <c r="F60" i="4"/>
  <c r="G90" i="4"/>
  <c r="F70" i="4"/>
  <c r="G24" i="4"/>
  <c r="D44" i="4"/>
  <c r="H34" i="4"/>
  <c r="F23" i="1"/>
  <c r="F27" i="1" s="1"/>
  <c r="E14" i="4"/>
  <c r="D44" i="1"/>
  <c r="D49" i="1" s="1"/>
  <c r="E34" i="4"/>
  <c r="J44" i="1"/>
  <c r="G44" i="4"/>
  <c r="H44" i="4"/>
  <c r="J26" i="1"/>
  <c r="G14" i="4"/>
  <c r="D26" i="1"/>
  <c r="D14" i="4"/>
  <c r="B47" i="1"/>
  <c r="D34" i="4"/>
  <c r="H47" i="1"/>
  <c r="G34" i="4"/>
  <c r="H26" i="1"/>
  <c r="F14" i="4"/>
  <c r="F47" i="1"/>
  <c r="F34" i="4"/>
  <c r="K37" i="6" l="1"/>
  <c r="C38" i="6"/>
  <c r="K38" i="6" s="1"/>
  <c r="C39" i="6"/>
  <c r="R39" i="6" s="1"/>
  <c r="M36" i="6"/>
  <c r="K46" i="6"/>
  <c r="C46" i="6"/>
  <c r="N46" i="6" s="1"/>
  <c r="M32" i="6"/>
  <c r="H44" i="6"/>
  <c r="K44" i="6"/>
  <c r="C42" i="6"/>
  <c r="J42" i="6" s="1"/>
  <c r="C44" i="6"/>
  <c r="S44" i="6" s="1"/>
  <c r="C36" i="6"/>
  <c r="K36" i="6"/>
  <c r="K42" i="6"/>
  <c r="H47" i="6"/>
  <c r="K45" i="6"/>
  <c r="C45" i="6"/>
  <c r="N45" i="6" s="1"/>
  <c r="H46" i="6"/>
  <c r="C47" i="6"/>
  <c r="C48" i="6" s="1"/>
  <c r="H48" i="6" s="1"/>
  <c r="H36" i="6"/>
  <c r="H42" i="6"/>
  <c r="C27" i="6"/>
  <c r="H45" i="6"/>
  <c r="K47" i="6"/>
  <c r="M33" i="6"/>
  <c r="M47" i="6"/>
  <c r="C35" i="6"/>
  <c r="H41" i="6"/>
  <c r="C53" i="6"/>
  <c r="D53" i="6" s="1"/>
  <c r="C33" i="6"/>
  <c r="N33" i="6" s="1"/>
  <c r="K32" i="6"/>
  <c r="H32" i="6"/>
  <c r="C41" i="6"/>
  <c r="K41" i="6" s="1"/>
  <c r="C55" i="6"/>
  <c r="D55" i="6" s="1"/>
  <c r="K33" i="6"/>
  <c r="K49" i="6"/>
  <c r="H33" i="6"/>
  <c r="H35" i="6"/>
  <c r="C32" i="6"/>
  <c r="H37" i="6"/>
  <c r="AI49" i="6"/>
  <c r="N49" i="6"/>
  <c r="D37" i="1"/>
  <c r="C28" i="6"/>
  <c r="J49" i="1"/>
  <c r="X49" i="6"/>
  <c r="Z49" i="6" s="1"/>
  <c r="AD49" i="6" s="1"/>
  <c r="AV30" i="2"/>
  <c r="AV31" i="2"/>
  <c r="AV25" i="2"/>
  <c r="M42" i="6" s="1"/>
  <c r="AV53" i="2"/>
  <c r="M46" i="6" s="1"/>
  <c r="D27" i="1"/>
  <c r="J27" i="1"/>
  <c r="H27" i="1"/>
  <c r="H37" i="1"/>
  <c r="B49" i="1"/>
  <c r="F49" i="1"/>
  <c r="H49" i="1"/>
  <c r="R32" i="6" l="1"/>
  <c r="J44" i="6"/>
  <c r="N35" i="6"/>
  <c r="J32" i="6"/>
  <c r="S32" i="6"/>
  <c r="Q32" i="6" s="1"/>
  <c r="M37" i="6"/>
  <c r="M44" i="6"/>
  <c r="M41" i="6"/>
  <c r="H39" i="6"/>
  <c r="M35" i="6"/>
  <c r="K53" i="6"/>
  <c r="AZ15" i="2"/>
  <c r="AO15" i="2" s="1"/>
  <c r="AY15" i="2"/>
  <c r="AQ15" i="2" s="1"/>
  <c r="C37" i="6" s="1"/>
  <c r="J36" i="6"/>
  <c r="J35" i="6"/>
  <c r="N53" i="6"/>
  <c r="J53" i="6"/>
  <c r="H53" i="6"/>
  <c r="J46" i="6"/>
  <c r="N47" i="6"/>
  <c r="H38" i="6"/>
  <c r="M38" i="6" s="1"/>
  <c r="J45" i="6"/>
  <c r="J47" i="6"/>
  <c r="J48" i="6"/>
  <c r="K48" i="6"/>
  <c r="M48" i="6" s="1"/>
  <c r="N48" i="6"/>
  <c r="N41" i="6"/>
  <c r="C50" i="6"/>
  <c r="H50" i="6" s="1"/>
  <c r="J41" i="6"/>
  <c r="J39" i="6"/>
  <c r="N39" i="6"/>
  <c r="D38" i="6"/>
  <c r="J55" i="6"/>
  <c r="K55" i="6"/>
  <c r="N32" i="6"/>
  <c r="J38" i="6"/>
  <c r="H55" i="6"/>
  <c r="N42" i="6"/>
  <c r="N36" i="6"/>
  <c r="R42" i="6"/>
  <c r="S42" i="6"/>
  <c r="Q42" i="6" s="1"/>
  <c r="N38" i="6"/>
  <c r="S38" i="6"/>
  <c r="Q38" i="6" s="1"/>
  <c r="R38" i="6"/>
  <c r="N44" i="6"/>
  <c r="Q44" i="6"/>
  <c r="R44" i="6"/>
  <c r="J33" i="6"/>
  <c r="R33" i="6"/>
  <c r="S33" i="6"/>
  <c r="Q33" i="6" s="1"/>
  <c r="S41" i="6"/>
  <c r="Q41" i="6" s="1"/>
  <c r="R41" i="6"/>
  <c r="S45" i="6"/>
  <c r="Q45" i="6" s="1"/>
  <c r="R45" i="6"/>
  <c r="S35" i="6"/>
  <c r="Q35" i="6" s="1"/>
  <c r="R35" i="6"/>
  <c r="R36" i="6"/>
  <c r="S36" i="6"/>
  <c r="Q36" i="6" s="1"/>
  <c r="K39" i="6"/>
  <c r="T39" i="6"/>
  <c r="S39" i="6"/>
  <c r="Q39" i="6" s="1"/>
  <c r="R48" i="6"/>
  <c r="S48" i="6"/>
  <c r="Q48" i="6" s="1"/>
  <c r="R47" i="6"/>
  <c r="S47" i="6"/>
  <c r="Q47" i="6" s="1"/>
  <c r="J49" i="6"/>
  <c r="C49" i="6"/>
  <c r="H49" i="6"/>
  <c r="M49" i="6" s="1"/>
  <c r="R46" i="6"/>
  <c r="S46" i="6"/>
  <c r="Q46" i="6" s="1"/>
  <c r="R49" i="6" l="1"/>
  <c r="M39" i="6"/>
  <c r="M55" i="6"/>
  <c r="M53" i="6"/>
  <c r="D37" i="6"/>
  <c r="K50" i="6"/>
  <c r="M50" i="6" s="1"/>
  <c r="J50" i="6"/>
  <c r="S50" i="6"/>
  <c r="Q50" i="6" s="1"/>
  <c r="R50" i="6"/>
  <c r="N50" i="6"/>
  <c r="P47" i="6"/>
  <c r="D47" i="6" s="1"/>
  <c r="P35" i="6"/>
  <c r="D35" i="6" s="1"/>
  <c r="P42" i="6"/>
  <c r="D42" i="6" s="1"/>
  <c r="P36" i="6"/>
  <c r="D36" i="6" s="1"/>
  <c r="P45" i="6"/>
  <c r="D45" i="6" s="1"/>
  <c r="M45" i="6" s="1"/>
  <c r="P39" i="6"/>
  <c r="D39" i="6" s="1"/>
  <c r="P32" i="6"/>
  <c r="D32" i="6" s="1"/>
  <c r="P41" i="6"/>
  <c r="D41" i="6" s="1"/>
  <c r="P48" i="6"/>
  <c r="D48" i="6" s="1"/>
  <c r="P33" i="6"/>
  <c r="D33" i="6" s="1"/>
  <c r="P44" i="6"/>
  <c r="D44" i="6" s="1"/>
  <c r="P38" i="6"/>
  <c r="S49" i="6"/>
  <c r="Q49" i="6" s="1"/>
  <c r="P46" i="6"/>
  <c r="D46" i="6" s="1"/>
  <c r="P49" i="6" l="1"/>
  <c r="AJ49" i="6" s="1"/>
  <c r="D49" i="6" s="1"/>
  <c r="M57" i="6"/>
  <c r="J37" i="6"/>
  <c r="N37" i="6"/>
  <c r="S37" i="6"/>
  <c r="Q37" i="6" s="1"/>
  <c r="R37" i="6"/>
  <c r="P50" i="6"/>
  <c r="D50" i="6" s="1"/>
  <c r="P37" i="6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Paja</author>
    <author>Keller Tomáš</author>
  </authors>
  <commentList>
    <comment ref="C23" authorId="0" shapeId="0" xr:uid="{00000000-0006-0000-0400-000001000000}">
      <text>
        <r>
          <rPr>
            <b/>
            <sz val="9"/>
            <color indexed="81"/>
            <rFont val="Tahoma"/>
            <family val="2"/>
            <charset val="238"/>
          </rPr>
          <t>Pokud vyberete ano, žaluzie bude připravena jako set, nařezaná a sestavená pro konečnou montáž (nutno ještě upravit dle potřeby některé vodící lišty)</t>
        </r>
      </text>
    </comment>
    <comment ref="R32" authorId="1" shapeId="0" xr:uid="{15DC947A-0934-4A42-A363-C59F301FD8D5}">
      <text>
        <r>
          <rPr>
            <b/>
            <sz val="9"/>
            <color indexed="81"/>
            <rFont val="Tahoma"/>
            <family val="2"/>
            <charset val="238"/>
          </rPr>
          <t>Keller Tomáš:</t>
        </r>
        <r>
          <rPr>
            <sz val="9"/>
            <color indexed="81"/>
            <rFont val="Tahoma"/>
            <family val="2"/>
            <charset val="238"/>
          </rPr>
          <t xml:space="preserve">
Uprava pro kombinaci 
FRAME+C3+METALIC - je potřeba mít profil zkráceny o 14mm jakou 29mm profilu
FRAME+C3+Plast profil - je potřeba mít profil zkráceny o 10mm 
Uprava pro kombinaci 
TOP+C3+METALIC - je potřeba mít profil zkráceny o 14mm jakou 29mm profilu
TOP+C3+Plast profil - je potřeba mít profil zkráceny o 10mm </t>
        </r>
      </text>
    </comment>
  </commentList>
</comments>
</file>

<file path=xl/sharedStrings.xml><?xml version="1.0" encoding="utf-8"?>
<sst xmlns="http://schemas.openxmlformats.org/spreadsheetml/2006/main" count="6763" uniqueCount="2759">
  <si>
    <t xml:space="preserve">                         Typ systému
Komponenty</t>
  </si>
  <si>
    <t>Fréza</t>
  </si>
  <si>
    <t>Šroub</t>
  </si>
  <si>
    <t>TOP</t>
  </si>
  <si>
    <t>FRAME</t>
  </si>
  <si>
    <t>Celkem</t>
  </si>
  <si>
    <t>Vodící lišta</t>
  </si>
  <si>
    <t>Roletový pancíř</t>
  </si>
  <si>
    <t>Krycí lišta</t>
  </si>
  <si>
    <t>Koncová lišta</t>
  </si>
  <si>
    <t>Dekor - buk, třešeň, bříza, javor, chrom</t>
  </si>
  <si>
    <t>Pastelové barvy - bílá, černá, šedá</t>
  </si>
  <si>
    <t>Typ posuvu</t>
  </si>
  <si>
    <t>fréza</t>
  </si>
  <si>
    <t>top</t>
  </si>
  <si>
    <t>frame</t>
  </si>
  <si>
    <t>šířka - ks</t>
  </si>
  <si>
    <t>výška ks</t>
  </si>
  <si>
    <t>celkem - ks</t>
  </si>
  <si>
    <t>Pancíř</t>
  </si>
  <si>
    <t>Vodící</t>
  </si>
  <si>
    <t>Rozměr</t>
  </si>
  <si>
    <t>ks</t>
  </si>
  <si>
    <t>Krycí</t>
  </si>
  <si>
    <t>Koncová</t>
  </si>
  <si>
    <t>AL</t>
  </si>
  <si>
    <t>dekor</t>
  </si>
  <si>
    <t>pastel</t>
  </si>
  <si>
    <t>pancíř</t>
  </si>
  <si>
    <t>Pancíř - metalic</t>
  </si>
  <si>
    <t>metalic - al</t>
  </si>
  <si>
    <t>metalic - ne</t>
  </si>
  <si>
    <t>vodící</t>
  </si>
  <si>
    <t>šroub</t>
  </si>
  <si>
    <t>krycí</t>
  </si>
  <si>
    <t>koncová</t>
  </si>
  <si>
    <t>kryt</t>
  </si>
  <si>
    <t>rohy</t>
  </si>
  <si>
    <t>top - dekor</t>
  </si>
  <si>
    <t>top pastel</t>
  </si>
  <si>
    <t>frame - de</t>
  </si>
  <si>
    <t>frame - pa</t>
  </si>
  <si>
    <t>kolíky</t>
  </si>
  <si>
    <t>celkem - tyč</t>
  </si>
  <si>
    <t>pancíř - tyč</t>
  </si>
  <si>
    <t>celkem-ks</t>
  </si>
  <si>
    <t>spodní díl</t>
  </si>
  <si>
    <t xml:space="preserve">   pastel</t>
  </si>
  <si>
    <t xml:space="preserve">   dekor</t>
  </si>
  <si>
    <t>Vertikální posuv</t>
  </si>
  <si>
    <t>Výpočet rozměrů - verikální</t>
  </si>
  <si>
    <t>Výpočet rozměrů - horizontální</t>
  </si>
  <si>
    <t>Metalic line - hliník</t>
  </si>
  <si>
    <t>Metalic line - nerez</t>
  </si>
  <si>
    <t>Horizontální posuv</t>
  </si>
  <si>
    <t>celkem bm</t>
  </si>
  <si>
    <t>koeficient</t>
  </si>
  <si>
    <t>Ceník zákaznický</t>
  </si>
  <si>
    <t>Ceník dodavatelský</t>
  </si>
  <si>
    <t>top hliník</t>
  </si>
  <si>
    <t>frame hliník</t>
  </si>
  <si>
    <t>frame nerez</t>
  </si>
  <si>
    <t>sleva</t>
  </si>
  <si>
    <t xml:space="preserve">navýšení </t>
  </si>
  <si>
    <t>%</t>
  </si>
  <si>
    <t>Ceny</t>
  </si>
  <si>
    <t>rabat</t>
  </si>
  <si>
    <t xml:space="preserve">   výška:</t>
  </si>
  <si>
    <t xml:space="preserve">   šířka:</t>
  </si>
  <si>
    <t xml:space="preserve">   hloubka:</t>
  </si>
  <si>
    <t xml:space="preserve">   doplňte v mm</t>
  </si>
  <si>
    <t xml:space="preserve">   vyberte posuv</t>
  </si>
  <si>
    <t>Výběr setů</t>
  </si>
  <si>
    <t>š</t>
  </si>
  <si>
    <t>hodnota</t>
  </si>
  <si>
    <t>š/rozměr</t>
  </si>
  <si>
    <t>v/ rozměr</t>
  </si>
  <si>
    <t>v max</t>
  </si>
  <si>
    <t>v min</t>
  </si>
  <si>
    <t>kriterium</t>
  </si>
  <si>
    <t>závěr</t>
  </si>
  <si>
    <t>Koncová lišta + kluzné kolíky</t>
  </si>
  <si>
    <t>Vodící lišta + rohy</t>
  </si>
  <si>
    <t>Dekor - buk, třešeň, bříza, javor, chrom, třešen havana, calvados, transparentní</t>
  </si>
  <si>
    <t>kolík pancíř</t>
  </si>
  <si>
    <t>al</t>
  </si>
  <si>
    <t>ne</t>
  </si>
  <si>
    <t xml:space="preserve">                       Typ systému vedení
Komponenty</t>
  </si>
  <si>
    <t>Na
šroubování</t>
  </si>
  <si>
    <t>Na
zafrézování</t>
  </si>
  <si>
    <t>Slevy a rabaty</t>
  </si>
  <si>
    <t>Na tomto listě můžete upravit svoje prodejní ceny a to jak ve formě slevy pro koncového zákazníka,</t>
  </si>
  <si>
    <t>tak ve formě rabatu k našim doporučeným prodejním cenám.</t>
  </si>
  <si>
    <t>Všechny ceny používané v tomto kalkulačním programu vycházejí z aktuálního ceníky firmy Kooplast.</t>
  </si>
  <si>
    <t>tato položka vám ve výsledné kalkulaci zohlední slevu pro koncového zákazníka</t>
  </si>
  <si>
    <t xml:space="preserve">tato položka vám ve výsledné kalkulaci zohlední navýšení vašich prodejních cen oproti cenám </t>
  </si>
  <si>
    <t>doporučených firmou Kooplast.</t>
  </si>
  <si>
    <t>Zdroje k výpisu</t>
  </si>
  <si>
    <t>hliník</t>
  </si>
  <si>
    <t>nerez</t>
  </si>
  <si>
    <t>Naložený systém
s mechanikou C3</t>
  </si>
  <si>
    <t>Ulice:</t>
  </si>
  <si>
    <t>Město:</t>
  </si>
  <si>
    <t>IČO:</t>
  </si>
  <si>
    <t>Tel.:</t>
  </si>
  <si>
    <t>Výběr dekoru</t>
  </si>
  <si>
    <t>Výběr vyvažování</t>
  </si>
  <si>
    <t>označení</t>
  </si>
  <si>
    <t>rozměr</t>
  </si>
  <si>
    <t>cena</t>
  </si>
  <si>
    <t>adapter</t>
  </si>
  <si>
    <t>Testy</t>
  </si>
  <si>
    <t>posuv</t>
  </si>
  <si>
    <t>šíře</t>
  </si>
  <si>
    <t>RB 3B</t>
  </si>
  <si>
    <t>výška</t>
  </si>
  <si>
    <t>výsledek</t>
  </si>
  <si>
    <t>Vyvažovací mechanizmy</t>
  </si>
  <si>
    <t>Výsledky</t>
  </si>
  <si>
    <t>bez omezení</t>
  </si>
  <si>
    <t>Označení</t>
  </si>
  <si>
    <t>Cena</t>
  </si>
  <si>
    <t>top - lišta</t>
  </si>
  <si>
    <t>frame lišta</t>
  </si>
  <si>
    <t>bm</t>
  </si>
  <si>
    <t>RB 50/CB - pro posun nahoru</t>
  </si>
  <si>
    <t>Registrační číslo</t>
  </si>
  <si>
    <t>Název 1</t>
  </si>
  <si>
    <t>(0)Cena v Kč</t>
  </si>
  <si>
    <t>RB52C3AD</t>
  </si>
  <si>
    <t>0RC04/03</t>
  </si>
  <si>
    <t>RC 22/01</t>
  </si>
  <si>
    <t>RC 25/13</t>
  </si>
  <si>
    <t>RC 25/03</t>
  </si>
  <si>
    <t>RC 25/01</t>
  </si>
  <si>
    <t>0RC24/01</t>
  </si>
  <si>
    <t>0RB24/02</t>
  </si>
  <si>
    <t>0RC71/01</t>
  </si>
  <si>
    <t>0RB3B/13</t>
  </si>
  <si>
    <t>0RB3B/02</t>
  </si>
  <si>
    <t>0RB3B/01</t>
  </si>
  <si>
    <t>0RB3B/03</t>
  </si>
  <si>
    <t>0RB3A/02</t>
  </si>
  <si>
    <t>0RB3A/01</t>
  </si>
  <si>
    <t>0RB3A/13</t>
  </si>
  <si>
    <t>0RB3A/03</t>
  </si>
  <si>
    <t>0RC02/Al</t>
  </si>
  <si>
    <t>RC 03/Al</t>
  </si>
  <si>
    <t>0RC02/Ne</t>
  </si>
  <si>
    <t>0RB02/02</t>
  </si>
  <si>
    <t>0RB02179</t>
  </si>
  <si>
    <t>0RB02/56</t>
  </si>
  <si>
    <t>0RB02797</t>
  </si>
  <si>
    <t>0RB02/01</t>
  </si>
  <si>
    <t>0RB02/ch</t>
  </si>
  <si>
    <t>0RB02224</t>
  </si>
  <si>
    <t>RC 06/AL</t>
  </si>
  <si>
    <t>0RC05/Al</t>
  </si>
  <si>
    <t>0RB02/03</t>
  </si>
  <si>
    <t>0RB02053</t>
  </si>
  <si>
    <t>0RB02173</t>
  </si>
  <si>
    <t>0RC30/Al</t>
  </si>
  <si>
    <t>RC 31/Al</t>
  </si>
  <si>
    <t>0RC30/Ne</t>
  </si>
  <si>
    <t>0RB30/02</t>
  </si>
  <si>
    <t>0RB30179</t>
  </si>
  <si>
    <t>0RB30/56</t>
  </si>
  <si>
    <t>0RB30797</t>
  </si>
  <si>
    <t>0RB30/01</t>
  </si>
  <si>
    <t>0RB30/ch</t>
  </si>
  <si>
    <t>0RB30224</t>
  </si>
  <si>
    <t>RC 32/Al</t>
  </si>
  <si>
    <t>0RB30/03</t>
  </si>
  <si>
    <t>0RB30053</t>
  </si>
  <si>
    <t>0RB30173</t>
  </si>
  <si>
    <t>0RB13/03</t>
  </si>
  <si>
    <t>0RB13/02</t>
  </si>
  <si>
    <t>RB13/179</t>
  </si>
  <si>
    <t>RB13/F56</t>
  </si>
  <si>
    <t>0RB13/01</t>
  </si>
  <si>
    <t>0RB13/Al</t>
  </si>
  <si>
    <t>0RB13/ch</t>
  </si>
  <si>
    <t>RB13/224</t>
  </si>
  <si>
    <t>RB13/173</t>
  </si>
  <si>
    <t>0RB15/02</t>
  </si>
  <si>
    <t>RB15/179</t>
  </si>
  <si>
    <t>RB15/F56</t>
  </si>
  <si>
    <t>0RB15/56</t>
  </si>
  <si>
    <t>0RB15/01</t>
  </si>
  <si>
    <t>0RB15/Al</t>
  </si>
  <si>
    <t>0RB15/ch</t>
  </si>
  <si>
    <t>RB15/224</t>
  </si>
  <si>
    <t>0RB15/03</t>
  </si>
  <si>
    <t>RB15/173</t>
  </si>
  <si>
    <t>0RB05/56</t>
  </si>
  <si>
    <t>0RB05/02</t>
  </si>
  <si>
    <t>RB05/179</t>
  </si>
  <si>
    <t>RB05/F56</t>
  </si>
  <si>
    <t>0RB05/01</t>
  </si>
  <si>
    <t>0RB05/ch</t>
  </si>
  <si>
    <t>RB05/224</t>
  </si>
  <si>
    <t>0RB05/03</t>
  </si>
  <si>
    <t>RB05/173</t>
  </si>
  <si>
    <t>RB32/224</t>
  </si>
  <si>
    <t>RB32/179</t>
  </si>
  <si>
    <t>RB 32/01</t>
  </si>
  <si>
    <t>RB 32/03</t>
  </si>
  <si>
    <t>RB 32/02</t>
  </si>
  <si>
    <t>RB 32/56</t>
  </si>
  <si>
    <t>RB 32/ch</t>
  </si>
  <si>
    <t>RB32/173</t>
  </si>
  <si>
    <t>0000RB62</t>
  </si>
  <si>
    <t>0RC01/Al</t>
  </si>
  <si>
    <t>0RC01/Ne</t>
  </si>
  <si>
    <t>RAINE/37</t>
  </si>
  <si>
    <t>Náb. rolety - metallic line 450x1400 nerez</t>
  </si>
  <si>
    <t>RAIAl/47</t>
  </si>
  <si>
    <t>Náb. rolety - metallic line 500x1000 hliník</t>
  </si>
  <si>
    <t>RAINe/47</t>
  </si>
  <si>
    <t>Náb. rolety - metallic line 500x1000 nerez</t>
  </si>
  <si>
    <t>RAIAl/50</t>
  </si>
  <si>
    <t>Náb. rolety - metallic line 500x1500</t>
  </si>
  <si>
    <t>RAINe/50</t>
  </si>
  <si>
    <t>RAIAl/57</t>
  </si>
  <si>
    <t>Náb. rolety - metallic line 600x1000 hliník</t>
  </si>
  <si>
    <t>RAINe/57</t>
  </si>
  <si>
    <t>Náb. rolety - metallic line 600x1000 nerez</t>
  </si>
  <si>
    <t>RAIAl/67</t>
  </si>
  <si>
    <t>Náb. rolety - metallic line 600x1400 hliník</t>
  </si>
  <si>
    <t>RAINe/67</t>
  </si>
  <si>
    <t>Náb. rolety - metallic line 600x1400 nerez</t>
  </si>
  <si>
    <t>RAIAl/00</t>
  </si>
  <si>
    <t>Náb. rolety - metallic line 600x1450 hliník</t>
  </si>
  <si>
    <t>RAINe/00</t>
  </si>
  <si>
    <t>Náb. rolety - metallic line 600x1450 nerez</t>
  </si>
  <si>
    <t>RAIAl/88</t>
  </si>
  <si>
    <t>Náb. rolety - metallic line 600x1500 hliník</t>
  </si>
  <si>
    <t>RAINe/88</t>
  </si>
  <si>
    <t>Náb. rolety - metallic line 600x1500 nerez</t>
  </si>
  <si>
    <t>RAIAl/77</t>
  </si>
  <si>
    <t>Náb. rolety - metallic line 900x1000 hliník</t>
  </si>
  <si>
    <t>RAINe/77</t>
  </si>
  <si>
    <t>Náb. rolety - metallic line 900x1000 nerez</t>
  </si>
  <si>
    <t>RAIAl/87</t>
  </si>
  <si>
    <t>Náb. rolety - metallic line 900x1400 hliník</t>
  </si>
  <si>
    <t>RAINe/87</t>
  </si>
  <si>
    <t>Náb. rolety - metallic line 900x1400 nerez</t>
  </si>
  <si>
    <t>0RB1C/tr</t>
  </si>
  <si>
    <t>0RB1C/02</t>
  </si>
  <si>
    <t>0RB1C179</t>
  </si>
  <si>
    <t>0RB1C/56</t>
  </si>
  <si>
    <t>RB1CF797</t>
  </si>
  <si>
    <t>0RB1C/01</t>
  </si>
  <si>
    <t>0RB1C/ch</t>
  </si>
  <si>
    <t>0RB1C224</t>
  </si>
  <si>
    <t>0RB1C/03</t>
  </si>
  <si>
    <t>RB1CF053</t>
  </si>
  <si>
    <t>0RB1C173</t>
  </si>
  <si>
    <t>0RB12/74</t>
  </si>
  <si>
    <t>0RB22/02</t>
  </si>
  <si>
    <t>0RB12/01</t>
  </si>
  <si>
    <t>0RB22/13</t>
  </si>
  <si>
    <t>0RB12/13</t>
  </si>
  <si>
    <t>0RB12/10</t>
  </si>
  <si>
    <t>0RB12/42</t>
  </si>
  <si>
    <t>0RB12/12</t>
  </si>
  <si>
    <t>0RB12/63</t>
  </si>
  <si>
    <t>0RB12/09</t>
  </si>
  <si>
    <t>0RB22/03</t>
  </si>
  <si>
    <t>0RB12/03</t>
  </si>
  <si>
    <t>RC75/tr.</t>
  </si>
  <si>
    <t>RB 41/56</t>
  </si>
  <si>
    <t>0RB70/03</t>
  </si>
  <si>
    <t>0RB70/02</t>
  </si>
  <si>
    <t>0RB70/01</t>
  </si>
  <si>
    <t>0RC70/Al</t>
  </si>
  <si>
    <t>0RC70/Ne</t>
  </si>
  <si>
    <t>0RB40/02</t>
  </si>
  <si>
    <t>0RB40/01</t>
  </si>
  <si>
    <t>0RB40/13</t>
  </si>
  <si>
    <t>0RB40/03</t>
  </si>
  <si>
    <t>RB 41/ch</t>
  </si>
  <si>
    <t>RB 41/02</t>
  </si>
  <si>
    <t>RB 41/01</t>
  </si>
  <si>
    <t>RB 41/Al</t>
  </si>
  <si>
    <t>RB41/224</t>
  </si>
  <si>
    <t>RB 41/03</t>
  </si>
  <si>
    <t>RB41/173</t>
  </si>
  <si>
    <t>0RB11/63</t>
  </si>
  <si>
    <t>0RC11/Al</t>
  </si>
  <si>
    <t>0RC11/Ne</t>
  </si>
  <si>
    <t>0RB11/74</t>
  </si>
  <si>
    <t>0RB21/02</t>
  </si>
  <si>
    <t>0RB11/02</t>
  </si>
  <si>
    <t>0RB21/01</t>
  </si>
  <si>
    <t>0RB11/01</t>
  </si>
  <si>
    <t>0RC13/Al</t>
  </si>
  <si>
    <t>0RB21/13</t>
  </si>
  <si>
    <t>0RB11/13</t>
  </si>
  <si>
    <t>0RB11/09</t>
  </si>
  <si>
    <t>0RB11/10</t>
  </si>
  <si>
    <t>0RB11/42</t>
  </si>
  <si>
    <t>0RB11/12</t>
  </si>
  <si>
    <t>0RB21/03</t>
  </si>
  <si>
    <t>0RB11/03</t>
  </si>
  <si>
    <t>0RC15/Al</t>
  </si>
  <si>
    <t>0RB6B/01</t>
  </si>
  <si>
    <t>0RB6B/03</t>
  </si>
  <si>
    <t>0RB6A/01</t>
  </si>
  <si>
    <t>0RB6A/03</t>
  </si>
  <si>
    <t>0RB6C/01</t>
  </si>
  <si>
    <t>0RB7B/01</t>
  </si>
  <si>
    <t>0RB50/F0</t>
  </si>
  <si>
    <t>Vyvaž. mechanika FENNEL - v. 140 cm</t>
  </si>
  <si>
    <t>0RB50/F1</t>
  </si>
  <si>
    <t>Vyvaž. mechanika FENNEL -v. 200cm</t>
  </si>
  <si>
    <t>0RB50/CB</t>
  </si>
  <si>
    <t>RB52C340</t>
  </si>
  <si>
    <t>RB52C350</t>
  </si>
  <si>
    <t>RB52C360</t>
  </si>
  <si>
    <t>RB52C370</t>
  </si>
  <si>
    <t>RB52C330</t>
  </si>
  <si>
    <t>0RB50/C6</t>
  </si>
  <si>
    <t>0000RB61</t>
  </si>
  <si>
    <t>RC13/z02</t>
  </si>
  <si>
    <t>RC13z179</t>
  </si>
  <si>
    <t>RC13/z56</t>
  </si>
  <si>
    <t>RC13/z01</t>
  </si>
  <si>
    <t>0RC13zAl</t>
  </si>
  <si>
    <t>RC13z224</t>
  </si>
  <si>
    <t>RC13/z03</t>
  </si>
  <si>
    <t>RC13/z74</t>
  </si>
  <si>
    <t>RC13z173</t>
  </si>
  <si>
    <t>0RC12/03</t>
  </si>
  <si>
    <t>0RC12/74</t>
  </si>
  <si>
    <t>záslepka</t>
  </si>
  <si>
    <t>586 - 620</t>
  </si>
  <si>
    <t>621 - 785</t>
  </si>
  <si>
    <t>786 - 820</t>
  </si>
  <si>
    <t>821 - 985</t>
  </si>
  <si>
    <t>986 - 1020</t>
  </si>
  <si>
    <t>1021 - 1185</t>
  </si>
  <si>
    <t>1186 - 1220</t>
  </si>
  <si>
    <t>1221 - 1385</t>
  </si>
  <si>
    <t>nebo Ne</t>
  </si>
  <si>
    <t xml:space="preserve">set RAI/47 v cenách Al </t>
  </si>
  <si>
    <t>o rozměrech šířka-500, výška 600-1000</t>
  </si>
  <si>
    <t xml:space="preserve">set RAI/50 v cenách Al </t>
  </si>
  <si>
    <t xml:space="preserve">set RAI/57 v cenách Al </t>
  </si>
  <si>
    <t xml:space="preserve">set RAI/88 v cenách Al </t>
  </si>
  <si>
    <t xml:space="preserve">set RAI/77 v cenách Al </t>
  </si>
  <si>
    <t xml:space="preserve">set RAI/87 v cenách Al </t>
  </si>
  <si>
    <t>o rozměrech šířka-500, výška 1000-1500</t>
  </si>
  <si>
    <t>o rozměrech šířka-600, výška 600-1000</t>
  </si>
  <si>
    <t>o rozměrech šířka-600, výška 1000-1500</t>
  </si>
  <si>
    <t>o rozměrech šířka-900, výška 600-1000</t>
  </si>
  <si>
    <t>o rozměrech šířka-900, výška 1000-1500</t>
  </si>
  <si>
    <t>Objed. číslo</t>
  </si>
  <si>
    <t>Popis dodávky</t>
  </si>
  <si>
    <t>MJ</t>
  </si>
  <si>
    <t>Množství</t>
  </si>
  <si>
    <t>Cena za jednotku</t>
  </si>
  <si>
    <t>Cena celkem bez DPH</t>
  </si>
  <si>
    <t>Výpis komponentů - vertikální</t>
  </si>
  <si>
    <t>KÓD</t>
  </si>
  <si>
    <t>POPIS</t>
  </si>
  <si>
    <t>CENA</t>
  </si>
  <si>
    <t>horizont</t>
  </si>
  <si>
    <t>vertikal</t>
  </si>
  <si>
    <t>RC23/03</t>
  </si>
  <si>
    <t>LIŠTA</t>
  </si>
  <si>
    <t>KOLÍKY</t>
  </si>
  <si>
    <t>pár</t>
  </si>
  <si>
    <t>Cena+KOEF</t>
  </si>
  <si>
    <t>Vodící lišty</t>
  </si>
  <si>
    <t>Vodící šroub</t>
  </si>
  <si>
    <t>lišty</t>
  </si>
  <si>
    <t>sety</t>
  </si>
  <si>
    <t>záda</t>
  </si>
  <si>
    <t>šnek</t>
  </si>
  <si>
    <t>C3</t>
  </si>
  <si>
    <t>Vodící fréza</t>
  </si>
  <si>
    <t>Vodící TOP a FRAME</t>
  </si>
  <si>
    <t>RB25/01</t>
  </si>
  <si>
    <t>kryt - frame</t>
  </si>
  <si>
    <t>kryt top</t>
  </si>
  <si>
    <t>záslepky</t>
  </si>
  <si>
    <t>rohy záda</t>
  </si>
  <si>
    <t>Naložený
hliník</t>
  </si>
  <si>
    <t>Naložený
nerez</t>
  </si>
  <si>
    <t>KOEFICIENT SLEVY</t>
  </si>
  <si>
    <t>ceny výpis</t>
  </si>
  <si>
    <t>naložený</t>
  </si>
  <si>
    <t>xxxxxxx</t>
  </si>
  <si>
    <t>0RB70/F56</t>
  </si>
  <si>
    <t xml:space="preserve">           </t>
  </si>
  <si>
    <t>storno</t>
  </si>
  <si>
    <t>Metallic line - set  a Metallic line - C BOX</t>
  </si>
  <si>
    <t>pro tuto variantu lze použít následující SET nebo C BOX:</t>
  </si>
  <si>
    <t>Výběr boxů</t>
  </si>
  <si>
    <t xml:space="preserve">RBOX AI/47 v cenách Al </t>
  </si>
  <si>
    <t xml:space="preserve">RBOX AI/50 v cenách Al </t>
  </si>
  <si>
    <t xml:space="preserve">RBOX AI/57 v cenách Al </t>
  </si>
  <si>
    <t xml:space="preserve">RBOX AI/88 v cenách Al </t>
  </si>
  <si>
    <t>boxy</t>
  </si>
  <si>
    <t>0RB12/02</t>
  </si>
  <si>
    <t>0RB22/01</t>
  </si>
  <si>
    <t xml:space="preserve"> </t>
  </si>
  <si>
    <t>s brzdou</t>
  </si>
  <si>
    <t>KOL-VER</t>
  </si>
  <si>
    <t>RB15/797</t>
  </si>
  <si>
    <t>RB15/053</t>
  </si>
  <si>
    <t>RB15/Ne</t>
  </si>
  <si>
    <t>Koncová lišta + kolíky</t>
  </si>
  <si>
    <t>Vyvažovací mech. C3</t>
  </si>
  <si>
    <t>top nerez</t>
  </si>
  <si>
    <t xml:space="preserve">set RAI/99 v cenách Al </t>
  </si>
  <si>
    <t xml:space="preserve">set RAI/19 v cenách Al </t>
  </si>
  <si>
    <t>o rozměrech šířka-450, výška 600-900</t>
  </si>
  <si>
    <t>o rozměrech šířka-450, výška 1000-1420</t>
  </si>
  <si>
    <t>RAI Al/99</t>
  </si>
  <si>
    <t>RAI Ne/99</t>
  </si>
  <si>
    <t>RAI Al/19</t>
  </si>
  <si>
    <t>RAI Ne/19</t>
  </si>
  <si>
    <t>Nal s C3</t>
  </si>
  <si>
    <t>386 - 420</t>
  </si>
  <si>
    <t>0RB70/ch</t>
  </si>
  <si>
    <t>421 - 585</t>
  </si>
  <si>
    <t>RB 51 C8</t>
  </si>
  <si>
    <t>RB 51 C82</t>
  </si>
  <si>
    <t>mechaniky</t>
  </si>
  <si>
    <t>c8</t>
  </si>
  <si>
    <t>c82</t>
  </si>
  <si>
    <t xml:space="preserve">                Typ               
                    vedení
Komponenty</t>
  </si>
  <si>
    <t>Metallic line - hliník,</t>
  </si>
  <si>
    <t>vnější rozměr</t>
  </si>
  <si>
    <t>NEREZ</t>
  </si>
  <si>
    <t>RC06/Ne</t>
  </si>
  <si>
    <t>RB13/ne</t>
  </si>
  <si>
    <t>nelze</t>
  </si>
  <si>
    <t>RC31/Ne</t>
  </si>
  <si>
    <t>Kód</t>
  </si>
  <si>
    <t>R96219</t>
  </si>
  <si>
    <t>R92840</t>
  </si>
  <si>
    <t>RB52C300</t>
  </si>
  <si>
    <t>R00053</t>
  </si>
  <si>
    <t>R97029</t>
  </si>
  <si>
    <t>R92838</t>
  </si>
  <si>
    <t>R96090</t>
  </si>
  <si>
    <t>R96089</t>
  </si>
  <si>
    <t>R96088</t>
  </si>
  <si>
    <t>R92835</t>
  </si>
  <si>
    <t>R00059</t>
  </si>
  <si>
    <t>R96941</t>
  </si>
  <si>
    <t>R92817</t>
  </si>
  <si>
    <t>R95974</t>
  </si>
  <si>
    <t>R88306</t>
  </si>
  <si>
    <t>R92824</t>
  </si>
  <si>
    <t>R88216</t>
  </si>
  <si>
    <t>R77014</t>
  </si>
  <si>
    <t>R92836</t>
  </si>
  <si>
    <t>R97028</t>
  </si>
  <si>
    <t>R92837</t>
  </si>
  <si>
    <t>R92825</t>
  </si>
  <si>
    <t>R92857</t>
  </si>
  <si>
    <t>R88189</t>
  </si>
  <si>
    <t>R96949</t>
  </si>
  <si>
    <t>R88198</t>
  </si>
  <si>
    <t>R77010</t>
  </si>
  <si>
    <t>R88323</t>
  </si>
  <si>
    <t>R96186</t>
  </si>
  <si>
    <t>R95817</t>
  </si>
  <si>
    <t>R88264</t>
  </si>
  <si>
    <t>R96948</t>
  </si>
  <si>
    <t>R92826</t>
  </si>
  <si>
    <t>R92841</t>
  </si>
  <si>
    <t>R96228</t>
  </si>
  <si>
    <t>R92842</t>
  </si>
  <si>
    <t>R95794</t>
  </si>
  <si>
    <t>R95797</t>
  </si>
  <si>
    <t>R92879</t>
  </si>
  <si>
    <t>R84083</t>
  </si>
  <si>
    <t>R95793</t>
  </si>
  <si>
    <t>R92819</t>
  </si>
  <si>
    <t>R95796</t>
  </si>
  <si>
    <t>R95820</t>
  </si>
  <si>
    <t>R95795</t>
  </si>
  <si>
    <t>R84082</t>
  </si>
  <si>
    <t>R92811</t>
  </si>
  <si>
    <t>R95834</t>
  </si>
  <si>
    <t>R95833</t>
  </si>
  <si>
    <t>R95839</t>
  </si>
  <si>
    <t>R95836</t>
  </si>
  <si>
    <t>R95832</t>
  </si>
  <si>
    <t>R95816</t>
  </si>
  <si>
    <t>R95835</t>
  </si>
  <si>
    <t>R95838</t>
  </si>
  <si>
    <t>R95837</t>
  </si>
  <si>
    <t>R95822</t>
  </si>
  <si>
    <t>R95828</t>
  </si>
  <si>
    <t>R95825</t>
  </si>
  <si>
    <t>R95821</t>
  </si>
  <si>
    <t>R95829</t>
  </si>
  <si>
    <t>R95824</t>
  </si>
  <si>
    <t>R95827</t>
  </si>
  <si>
    <t>R95823</t>
  </si>
  <si>
    <t>R95826</t>
  </si>
  <si>
    <t>R96075</t>
  </si>
  <si>
    <t>R96072</t>
  </si>
  <si>
    <t>R96078</t>
  </si>
  <si>
    <t>R96071</t>
  </si>
  <si>
    <t>R96074</t>
  </si>
  <si>
    <t>R96077</t>
  </si>
  <si>
    <t>R96073</t>
  </si>
  <si>
    <t>R96076</t>
  </si>
  <si>
    <t>R96086</t>
  </si>
  <si>
    <t>R96087</t>
  </si>
  <si>
    <t>R96080</t>
  </si>
  <si>
    <t>R96082</t>
  </si>
  <si>
    <t>R96081</t>
  </si>
  <si>
    <t>R96084</t>
  </si>
  <si>
    <t>R96083</t>
  </si>
  <si>
    <t>R96085</t>
  </si>
  <si>
    <t>R95879</t>
  </si>
  <si>
    <t>R92834</t>
  </si>
  <si>
    <t>R88218</t>
  </si>
  <si>
    <t>R96938</t>
  </si>
  <si>
    <t>R92827</t>
  </si>
  <si>
    <t>R92856</t>
  </si>
  <si>
    <t>R88197</t>
  </si>
  <si>
    <t>R84081</t>
  </si>
  <si>
    <t>R88309</t>
  </si>
  <si>
    <t>R77011</t>
  </si>
  <si>
    <t>R88226</t>
  </si>
  <si>
    <t>R88265</t>
  </si>
  <si>
    <t>R84080</t>
  </si>
  <si>
    <t>R80202</t>
  </si>
  <si>
    <t>R92831</t>
  </si>
  <si>
    <t>R88305</t>
  </si>
  <si>
    <t>R88209</t>
  </si>
  <si>
    <t>R88229</t>
  </si>
  <si>
    <t>R88302</t>
  </si>
  <si>
    <t>R92803</t>
  </si>
  <si>
    <t>R84087</t>
  </si>
  <si>
    <t>R92804</t>
  </si>
  <si>
    <t>R84091</t>
  </si>
  <si>
    <t>R84090</t>
  </si>
  <si>
    <t>R77013</t>
  </si>
  <si>
    <t>R92802</t>
  </si>
  <si>
    <t>R00048</t>
  </si>
  <si>
    <t>R00030</t>
  </si>
  <si>
    <t>R84095</t>
  </si>
  <si>
    <t>R84094</t>
  </si>
  <si>
    <t>R84096</t>
  </si>
  <si>
    <t>R84093</t>
  </si>
  <si>
    <t>R92843</t>
  </si>
  <si>
    <t>R00058</t>
  </si>
  <si>
    <t>R96940</t>
  </si>
  <si>
    <t>R00017</t>
  </si>
  <si>
    <t>R00016</t>
  </si>
  <si>
    <t>R00019</t>
  </si>
  <si>
    <t>R00018</t>
  </si>
  <si>
    <t>R00029</t>
  </si>
  <si>
    <t>R00027</t>
  </si>
  <si>
    <t>R00026</t>
  </si>
  <si>
    <t>R00031</t>
  </si>
  <si>
    <t>R00028</t>
  </si>
  <si>
    <t>R00032</t>
  </si>
  <si>
    <t>R84086</t>
  </si>
  <si>
    <t>R92845</t>
  </si>
  <si>
    <t>R92846</t>
  </si>
  <si>
    <t>R77089</t>
  </si>
  <si>
    <t>R88304</t>
  </si>
  <si>
    <t>R92822</t>
  </si>
  <si>
    <t>R92810</t>
  </si>
  <si>
    <t>R92823</t>
  </si>
  <si>
    <t>R95818</t>
  </si>
  <si>
    <t>R88228</t>
  </si>
  <si>
    <t>R88301</t>
  </si>
  <si>
    <t>R84085</t>
  </si>
  <si>
    <t>R92820</t>
  </si>
  <si>
    <t>R84084</t>
  </si>
  <si>
    <t>R88208</t>
  </si>
  <si>
    <t>R77012</t>
  </si>
  <si>
    <t>R92821</t>
  </si>
  <si>
    <t>R95830</t>
  </si>
  <si>
    <t>R95849</t>
  </si>
  <si>
    <t>R95948</t>
  </si>
  <si>
    <t>R95848</t>
  </si>
  <si>
    <t>R92850</t>
  </si>
  <si>
    <t>R95831</t>
  </si>
  <si>
    <t>R92848</t>
  </si>
  <si>
    <t>R92852</t>
  </si>
  <si>
    <t>R92853</t>
  </si>
  <si>
    <t>R92854</t>
  </si>
  <si>
    <t>R93228</t>
  </si>
  <si>
    <t>R88329</t>
  </si>
  <si>
    <t>R00044</t>
  </si>
  <si>
    <t>R95841</t>
  </si>
  <si>
    <t>R95847</t>
  </si>
  <si>
    <t>R95844</t>
  </si>
  <si>
    <t>R95840</t>
  </si>
  <si>
    <t>R95846</t>
  </si>
  <si>
    <t>R95842</t>
  </si>
  <si>
    <t>R95843</t>
  </si>
  <si>
    <t>R95845</t>
  </si>
  <si>
    <t>R95799</t>
  </si>
  <si>
    <t>R92801</t>
  </si>
  <si>
    <t>R92828</t>
  </si>
  <si>
    <t>Nov1</t>
  </si>
  <si>
    <t>R00037</t>
  </si>
  <si>
    <t>R00033</t>
  </si>
  <si>
    <t>R00034</t>
  </si>
  <si>
    <t>R00064</t>
  </si>
  <si>
    <t>R00065</t>
  </si>
  <si>
    <t>R00066</t>
  </si>
  <si>
    <t>R00067</t>
  </si>
  <si>
    <t>Záslepky ???</t>
  </si>
  <si>
    <t>Název</t>
  </si>
  <si>
    <t xml:space="preserve">  Dodání</t>
  </si>
  <si>
    <t>Prodejní cena</t>
  </si>
  <si>
    <t xml:space="preserve">  Prodejní cena SK</t>
  </si>
  <si>
    <t xml:space="preserve">  Prodejní cena PL</t>
  </si>
  <si>
    <t xml:space="preserve">  Prodejní cena HU</t>
  </si>
  <si>
    <t xml:space="preserve">  Název sortimentu (SK)</t>
  </si>
  <si>
    <t xml:space="preserve">  Název sortimentu (PL)</t>
  </si>
  <si>
    <t xml:space="preserve">  Název sortimentu (HU)</t>
  </si>
  <si>
    <t>R00001</t>
  </si>
  <si>
    <t>Roletový profil E4 černá</t>
  </si>
  <si>
    <t>BM</t>
  </si>
  <si>
    <t>O</t>
  </si>
  <si>
    <t>Roletový profil E4 čierna</t>
  </si>
  <si>
    <t>REDŐNY PROFIL E4 FEKETE</t>
  </si>
  <si>
    <t>R00002</t>
  </si>
  <si>
    <t>Roletový profil E4 šedá</t>
  </si>
  <si>
    <t>REDŐNY PROFIL E4 SZÜRKE</t>
  </si>
  <si>
    <t>R00003</t>
  </si>
  <si>
    <t>Roletový profil E4 hliník (plast)</t>
  </si>
  <si>
    <t>R00004</t>
  </si>
  <si>
    <t>Roletový profil E4 buk</t>
  </si>
  <si>
    <t>REDŐNY PROFIL E4 BÜKK</t>
  </si>
  <si>
    <t>R00005</t>
  </si>
  <si>
    <t>Profilový kluzný kolík E4 bílá</t>
  </si>
  <si>
    <t>KS</t>
  </si>
  <si>
    <t>profilový klzný kolík E4 biela</t>
  </si>
  <si>
    <t>PROFIL CSÚSZKA E4 FEHÉR</t>
  </si>
  <si>
    <t>R00006</t>
  </si>
  <si>
    <t>R00007</t>
  </si>
  <si>
    <t>R00008</t>
  </si>
  <si>
    <t>R00009</t>
  </si>
  <si>
    <t>R00010</t>
  </si>
  <si>
    <t>R00011</t>
  </si>
  <si>
    <t>Rolet. prof. Metal-line 25mm hliník 230L</t>
  </si>
  <si>
    <t>R00012</t>
  </si>
  <si>
    <t>Rolet. prof. Metal-line 25mm nerez 360L</t>
  </si>
  <si>
    <t>R00013</t>
  </si>
  <si>
    <t>Kluzný kolík Metallic-line 25mm černá</t>
  </si>
  <si>
    <t>PAR</t>
  </si>
  <si>
    <t>klzný kolík Metallic-line 25mm čierna</t>
  </si>
  <si>
    <t>R00014</t>
  </si>
  <si>
    <t>Vodicí lišta 12 mm na zafrézování černá</t>
  </si>
  <si>
    <t>vodiaca lišta 12 mm na zafrézovanie čier</t>
  </si>
  <si>
    <t>VEZETŐSÍN  12 mm BEMARÁSRA FEKETE</t>
  </si>
  <si>
    <t>R00015</t>
  </si>
  <si>
    <t>Vodicí lišta 12 mm na zafrézování šedá</t>
  </si>
  <si>
    <t>vodiaca lišta 12 mm na zafrézovanie šedá</t>
  </si>
  <si>
    <t>Středový doraz 8 mm černá</t>
  </si>
  <si>
    <t>stredový doraz 8 mm čierna</t>
  </si>
  <si>
    <t>Středový doraz 8 mm bílá</t>
  </si>
  <si>
    <t>stredový doraz 8 mm biela</t>
  </si>
  <si>
    <t>Středový doraz 8 mm šedá</t>
  </si>
  <si>
    <t>stredový doraz 8 mm šedá</t>
  </si>
  <si>
    <t>Středový doraz 8 mm sv. hnědá (buk)</t>
  </si>
  <si>
    <t>stredový doraz 8 mm sv. hnedá (buk)</t>
  </si>
  <si>
    <t>R00020</t>
  </si>
  <si>
    <t>Středový doraz 12 mm černá</t>
  </si>
  <si>
    <t>stredový doraz 12 mm čierna</t>
  </si>
  <si>
    <t>R00021</t>
  </si>
  <si>
    <t>Středový doraz 12 mm šedá</t>
  </si>
  <si>
    <t>stredový doraz 12 mm šedá</t>
  </si>
  <si>
    <t>R00022</t>
  </si>
  <si>
    <t>Vodicí oblouk 90 °  - 12 mm černá</t>
  </si>
  <si>
    <t>vodiaci oblúk 90 °  - 12 mm čierna</t>
  </si>
  <si>
    <t>VEZETŐ ÍV90 ° - 12 mm FEKETE</t>
  </si>
  <si>
    <t>R00023</t>
  </si>
  <si>
    <t>Vodicí oblouk 90 °  - 12 mm šedá</t>
  </si>
  <si>
    <t>vodiaci oblúk 90 °  - 12 mm šedá</t>
  </si>
  <si>
    <t>R00024</t>
  </si>
  <si>
    <t>Vodicí šnek 12 mm, kapacita 670mm  černá</t>
  </si>
  <si>
    <t>vodiaci slimák 12 mm, kapacita 670mm  či</t>
  </si>
  <si>
    <t>VEZETŐCSIGA 12 mm, kapac. 670mm FEKETE</t>
  </si>
  <si>
    <t>R00025</t>
  </si>
  <si>
    <t>Vodicí šnek 12 mm, kapac. 1280mm  černá</t>
  </si>
  <si>
    <t>vodiaci slimák 12 mm, kapac. 1280mm  čie</t>
  </si>
  <si>
    <t>VEZETŐCSIGA 12 mm, kapac. 1280mm FEKETE</t>
  </si>
  <si>
    <t>Středový doraz Top černá</t>
  </si>
  <si>
    <t>stredový doraz Top čierna</t>
  </si>
  <si>
    <t>KÖZÉP ÜTKÖZŐ Top FEKETE</t>
  </si>
  <si>
    <t>Středový doraz Top bílá</t>
  </si>
  <si>
    <t>stredový doraz Top biela</t>
  </si>
  <si>
    <t>KÖZÉP ÜTKÖZŐ Top FEHÉR</t>
  </si>
  <si>
    <t>Středový doraz Top šedá</t>
  </si>
  <si>
    <t>stredový doraz Top šedá</t>
  </si>
  <si>
    <t>KÖZÉP ÜTKÖZŐ Top SZÜRKE</t>
  </si>
  <si>
    <t>Středový doraz Top sv. šedá (hliník)</t>
  </si>
  <si>
    <t>stredový doraz Top sv. šedá (hliník)</t>
  </si>
  <si>
    <t>KÖZÉP ÜTKÖZŐ Top VIL.SZÜRKE (ALU)</t>
  </si>
  <si>
    <t>Středový doraz Top sv. hnědá (buk)</t>
  </si>
  <si>
    <t>stredový doraz Top sv. hnedá (buk)</t>
  </si>
  <si>
    <t>KÖZÉP ÜTKÖZŐTop VIL.BARNA (BÜKK)</t>
  </si>
  <si>
    <t>Středový doraz Top béžová (javor)</t>
  </si>
  <si>
    <t>stredový doraz Top bežová (javor)</t>
  </si>
  <si>
    <t>KÖZÉP ÜTKÖZŐTop DRAPP (JÁVOR)</t>
  </si>
  <si>
    <t>Středový doraz Top hnědá (třešeň)</t>
  </si>
  <si>
    <t>stredový doraz Top hnedá (čerešňa)</t>
  </si>
  <si>
    <t>KÖZÉP ÜTKÖZŐTop BARNA (CSERESZNYE)</t>
  </si>
  <si>
    <t>Krycí profil Top třeš. Havana</t>
  </si>
  <si>
    <t>Krycí profil Top čereš. Havana</t>
  </si>
  <si>
    <t>Krycí profil Top calvados</t>
  </si>
  <si>
    <t>Krycí profil Top calvádos</t>
  </si>
  <si>
    <t>Vodicí lišta 15,5 mm vertikální ALU 230L</t>
  </si>
  <si>
    <t>R00039</t>
  </si>
  <si>
    <t>SADA PODPŮR.TYČÍ PRO MECHANIKU C8</t>
  </si>
  <si>
    <t>SAD</t>
  </si>
  <si>
    <t>Súprava podperných tyčí pre mech. C8</t>
  </si>
  <si>
    <t>SZETT RUDAK C8 MECHANIZMUSHOZ</t>
  </si>
  <si>
    <t>R00040</t>
  </si>
  <si>
    <t>Kluzný kolík 12 mm černá</t>
  </si>
  <si>
    <t>klzný kolík 12 mm čierna</t>
  </si>
  <si>
    <t>CSÚSZKA 12 mm FEKETE</t>
  </si>
  <si>
    <t>R00041</t>
  </si>
  <si>
    <t>Kluzný kolík 12 mm bílá</t>
  </si>
  <si>
    <t>klzný kolík 12 mm biela</t>
  </si>
  <si>
    <t>CSÚSZKA 12 mm FEHÉR</t>
  </si>
  <si>
    <t>R00042</t>
  </si>
  <si>
    <t>Kluzný kolík 12 mm šedá</t>
  </si>
  <si>
    <t>klzný kolík 12 mm šedá</t>
  </si>
  <si>
    <t>R00043</t>
  </si>
  <si>
    <t>Kluzný kolík 12 mm sv. hnědá (buk)</t>
  </si>
  <si>
    <t>klzný kolík 12 mm sv. hnedá (buk)</t>
  </si>
  <si>
    <t>CSÚSZKA 12 mm VIL.BARNA (BÜKK)</t>
  </si>
  <si>
    <t>R00045</t>
  </si>
  <si>
    <t>Úchytka 128 mm - stříbrná stříbrná</t>
  </si>
  <si>
    <t>Úchytka 128 mm - strieborná strieborná</t>
  </si>
  <si>
    <t>Uchwyt  128 mm - srebrny</t>
  </si>
  <si>
    <t>FOGANTYÚ 128 mm - EZÜST EZÜST</t>
  </si>
  <si>
    <t>R00046</t>
  </si>
  <si>
    <t>Úchytka 192 mm - stříbrná stříbrná</t>
  </si>
  <si>
    <t>Úchytka 192 mm - strieborná strieborná</t>
  </si>
  <si>
    <t>Uchwyt  192 mm - srebrny</t>
  </si>
  <si>
    <t>FOGANTYÚ 192 mm - EZÜST EZÜST</t>
  </si>
  <si>
    <t>R00047</t>
  </si>
  <si>
    <t>Úchytka zápustná  šedá RAL 9006</t>
  </si>
  <si>
    <t>uchwyt wpuszczany szary  RAL 9006</t>
  </si>
  <si>
    <t>FOGANTYÚ BESÜLY. SZÜRKE RAL 9006</t>
  </si>
  <si>
    <t>Spoj. prof. pro střed. úchyt. Lištu</t>
  </si>
  <si>
    <t>Spoj. pref. pre stred. úchyt. Lištu</t>
  </si>
  <si>
    <t>ÖSSZEK.PROF.KOZÉPTARTÓ.LISTÁRA</t>
  </si>
  <si>
    <t>R00049</t>
  </si>
  <si>
    <t>Magn. doraz. prof. konc. lišty ALU 27mm</t>
  </si>
  <si>
    <t>Magn. doraz. pref. konc. lišty ALU 27mm</t>
  </si>
  <si>
    <t>MAGN.ÜTKÖZŐ PROF.VÉGZ.LISTÁRA ALU 27mm</t>
  </si>
  <si>
    <t>R00050</t>
  </si>
  <si>
    <t>Koncovky pro vodicí lištu R00037</t>
  </si>
  <si>
    <t>Koncovky pre vodiacu lištu R00037</t>
  </si>
  <si>
    <t>VÉGZŐ ELEM VEZ.SÍNRE R00037</t>
  </si>
  <si>
    <t>R00052</t>
  </si>
  <si>
    <t>S72</t>
  </si>
  <si>
    <t>Držák mechaniky C3 - kovový</t>
  </si>
  <si>
    <t>Držiak mechaniky C3 - kovový</t>
  </si>
  <si>
    <t>R00054</t>
  </si>
  <si>
    <t>Koncovka pro vodicí lištu R92845 levá</t>
  </si>
  <si>
    <t>Koncovka pre vodiacu lištu R92845 ľavá</t>
  </si>
  <si>
    <t>VÉGZ.ELEM VEZETŐ SÍNRE R92845 BAL</t>
  </si>
  <si>
    <t>R00055</t>
  </si>
  <si>
    <t>Koncovka pro vodicí lištu R92845 pravá</t>
  </si>
  <si>
    <t>Koncovka pre vodiacu lištu R92845 pravá</t>
  </si>
  <si>
    <t>VÉGZ.ELEM VEZETŐ SÍNRE R92845 JOBB</t>
  </si>
  <si>
    <t>R00056</t>
  </si>
  <si>
    <t>Koncovka pro vodicí lištu R92846 levá</t>
  </si>
  <si>
    <t>Koncovka pre vodiacu lištu R92846 ľavá</t>
  </si>
  <si>
    <t>VÉGZ.ELEM VEZETŐ SÍNRE R92846 BAL</t>
  </si>
  <si>
    <t>R00057</t>
  </si>
  <si>
    <t>Koncovka pro vodicí lištu R92846 pravá</t>
  </si>
  <si>
    <t>Koncovka pre vodiacu lištu R92846 pravá</t>
  </si>
  <si>
    <t>VÉGZ.ELEM VEZETŐ SÍNRE R92846 JOBB</t>
  </si>
  <si>
    <t>Stredová úch. lišta C3 nerez 360L</t>
  </si>
  <si>
    <t>Kluzný kolík pro střed. úch. lištu černá</t>
  </si>
  <si>
    <t>klzný kolík pre stred. úch. lištu čierna</t>
  </si>
  <si>
    <t>CSÚSZKA KÖZÉPSŐ TARTÓLÉCRE FEKETE</t>
  </si>
  <si>
    <t>R00060</t>
  </si>
  <si>
    <t>Vyvažovacia mechanika C8</t>
  </si>
  <si>
    <t>Mechanizm roletowy  C8</t>
  </si>
  <si>
    <t>R00061</t>
  </si>
  <si>
    <t>Krycí profil Top nerez 360L</t>
  </si>
  <si>
    <t>Takaró profil Top nemesacél 360L</t>
  </si>
  <si>
    <t>Krycí profil Frame nerez 360L</t>
  </si>
  <si>
    <t>Krycí lišta nerez (profil L)  nerez 360L</t>
  </si>
  <si>
    <t>Krycia lišta nerez (profil L)  nerez 360</t>
  </si>
  <si>
    <t>Koncová lišta s přesahem  nerez 360L</t>
  </si>
  <si>
    <t>R00101</t>
  </si>
  <si>
    <t>Koncová lišta hliník (plast)</t>
  </si>
  <si>
    <t>VÉGZÁRÓ LÉC ALU (MŰANYAG)</t>
  </si>
  <si>
    <t>Roletový profil E23 hliník (plast)</t>
  </si>
  <si>
    <t>REDŐNY PROFIL E23 ALU (MŰANYAG)</t>
  </si>
  <si>
    <t>Vodicí lišta 8 mm na zafrézování šedá</t>
  </si>
  <si>
    <t>vodiaca lišta 8 mm na zafrézovanie šedá</t>
  </si>
  <si>
    <t>VEZETŐSÍN  8 mm BEMARÁSRA SZÜRKE</t>
  </si>
  <si>
    <t>Vodicí oblouk 90 °  -   8 mm šedá</t>
  </si>
  <si>
    <t>vodiaci oblúk 90 °  -   8 mm šedá</t>
  </si>
  <si>
    <t>VEZETŐ ÍV 90 ° - 8 mm SZÜRKE</t>
  </si>
  <si>
    <t>Kluzný kolík 8 mm šedá</t>
  </si>
  <si>
    <t>klzný kolík 8 mm šedá</t>
  </si>
  <si>
    <t>CSÚSZKA 8 mm SZÜRKE</t>
  </si>
  <si>
    <t>vodiaca lišta na skrut sv. šedá (hliník)</t>
  </si>
  <si>
    <t>Roletový profil E23 třešeň</t>
  </si>
  <si>
    <t>Roletový profil E23 čerešňa</t>
  </si>
  <si>
    <t>REDŐNY PROFIL E23 CSERESZNYE</t>
  </si>
  <si>
    <t>Roletový profil E23 třeš. Havana</t>
  </si>
  <si>
    <t>Roletový profil E23 čereš. Havana</t>
  </si>
  <si>
    <t>REDŐNY PROFIL E23 CSER.Havana</t>
  </si>
  <si>
    <t>Roletový profil E23 calvados</t>
  </si>
  <si>
    <t>Roletový profil E23 calvádos</t>
  </si>
  <si>
    <t>REDŐNY PROFIL E23 CALVADOSZ</t>
  </si>
  <si>
    <t>Krycí lišta dekor třeš. Havana</t>
  </si>
  <si>
    <t>Krycia lišta dekor čereš. Havana</t>
  </si>
  <si>
    <t>TAKARÓLÉC dekor CSER. Havana</t>
  </si>
  <si>
    <t>Krycí lišta dekor calvados</t>
  </si>
  <si>
    <t>Krycí lišta dekor calvádos</t>
  </si>
  <si>
    <t>TAKARÓLÉC dekor CALVADOSZ</t>
  </si>
  <si>
    <t>Vodicí lišta na šroub hnědá (Havana)</t>
  </si>
  <si>
    <t>vodiaca lišta na šroub hnedá (Havana)</t>
  </si>
  <si>
    <t>VEZETŐSÍN  CSAVARRA BARNA (Havana)</t>
  </si>
  <si>
    <t>Vodicí lišta na šroub hnědá (calvados)</t>
  </si>
  <si>
    <t>vodiaca lišta na šroub hnedá (calvádos)</t>
  </si>
  <si>
    <t>VEZETŐSÍN  CSAVARRA BARNA (CALVADOSZ)</t>
  </si>
  <si>
    <t>Vodicí lišta na šroub béžová (bříza)</t>
  </si>
  <si>
    <t>vodiaca lišta na šroub bežová (breza)</t>
  </si>
  <si>
    <t>VEZETŐSÍN  CSAVARRA DRAPP (NYÍR)</t>
  </si>
  <si>
    <t>Roh vodící liš. na šroub hnědá (Havana)</t>
  </si>
  <si>
    <t>Roh vodiacej liš. na šroub hnedá (Havana</t>
  </si>
  <si>
    <t>SAR.EL.VEZ.SÍ. CSAVARRA BARNA (Havana)</t>
  </si>
  <si>
    <t>Roh vodící liš. na šroub hnědá (calv.)</t>
  </si>
  <si>
    <t>Roh vodiacej liš. na šroub hnedá (calv.)</t>
  </si>
  <si>
    <t>SAR.EL.VEZ.SÍ. CSAVARRA BARNA (calv.)</t>
  </si>
  <si>
    <t>Roh vodící liš. na šroub béžová (bříza)</t>
  </si>
  <si>
    <t>Roh vodiacej liš. na šroub bežová (breza</t>
  </si>
  <si>
    <t>SAR.EL.VEZ.SÍ. CSAVARRA DRAPP (NYÍR)</t>
  </si>
  <si>
    <t>Středová úchytová lišta C3 - uni  černá</t>
  </si>
  <si>
    <t>Středová úchytová lišta C3 - uni  bílá</t>
  </si>
  <si>
    <t>Stredová úchytová lišta C3 - uni  biela</t>
  </si>
  <si>
    <t>Středová úchytová lišta C3 - uni  šedá</t>
  </si>
  <si>
    <t>Stredová úchytová lišta C3 - uni  šedá</t>
  </si>
  <si>
    <t>KÖZÉPSŐ TARTÓ LÉC C3 - uni SZÜRKE</t>
  </si>
  <si>
    <t>Středová úchytová lišta C3 - dekor  buk</t>
  </si>
  <si>
    <t>Stredová úchytová lišta C3 - dekor  buk</t>
  </si>
  <si>
    <t>KÖZÉPSŐ TARTÓ LÉC C3 - dekor BÜKK</t>
  </si>
  <si>
    <t>Koncová lišta buk</t>
  </si>
  <si>
    <t>VÉGZÁRÓ LÉC BÜKK</t>
  </si>
  <si>
    <t>Roletový profil E23 buk</t>
  </si>
  <si>
    <t>REDŐNY PROFIL E23 BÜKK</t>
  </si>
  <si>
    <t>Koncová lišta černá</t>
  </si>
  <si>
    <t>Koncová lišta čierna</t>
  </si>
  <si>
    <t>VÉGZÁRÓ LÉC FEKETE</t>
  </si>
  <si>
    <t>Vodicí lišta na šroub hnědá (třešeň)</t>
  </si>
  <si>
    <t>VEZETŐSÍN  CSAVARRA BARNA (CSERESZNYE)</t>
  </si>
  <si>
    <t>Roh vodící liš. na šroub černá</t>
  </si>
  <si>
    <t>SAR.EL.VEZ.SÍ. CSAVARRA FEKETE</t>
  </si>
  <si>
    <t>Kluzný kolík 8 mm sv. hnědá (buk)</t>
  </si>
  <si>
    <t>klzný kolík 8 mm sv. hnedá (buk)</t>
  </si>
  <si>
    <t>CSÚSZKA 8 mm VIL.BARNA (BÜKK)</t>
  </si>
  <si>
    <t>Rolet. prof. Metal-line 20mm nerez 360L</t>
  </si>
  <si>
    <t>RED.PROF. Metal-line 20mm NEM.AC. 360L</t>
  </si>
  <si>
    <t>Roletový profil E23 javor</t>
  </si>
  <si>
    <t>REDŐNY PROFIL E23 JÁVOR</t>
  </si>
  <si>
    <t>Vodicí lišta 8mm na zafr. sv. hněd. buk</t>
  </si>
  <si>
    <t>vodiaca lišta 8mm na zafr. sv. hned. buk</t>
  </si>
  <si>
    <t>VEZETŐSÍN  8mm BEMARÁSRA VIL.BARNA. BÜKK</t>
  </si>
  <si>
    <t>Vodicí oblouk 90 ° , 8mm sv. hnědá (buk)</t>
  </si>
  <si>
    <t>vodiaci oblúk 90 ° , 8mm sv. hnedá (buk)</t>
  </si>
  <si>
    <t>VEZETŐ ÍV90 ° , 8mm VIL. BARNA (BÜKK)</t>
  </si>
  <si>
    <t>Koncová lišta šedá</t>
  </si>
  <si>
    <t>VÉGZÁRÓ LÉC SZÜRKE</t>
  </si>
  <si>
    <t>Roletový profil E23 šedá</t>
  </si>
  <si>
    <t>REDŐNY PROFIL E23 SZÜRKE</t>
  </si>
  <si>
    <t>Vodicí lišta na šroub sv. hnědá (buk)</t>
  </si>
  <si>
    <t>vodiaca lišta na skrutku sv. hnedá (buk)</t>
  </si>
  <si>
    <t>VEZETŐSÍN  CSAVARRA VIL.BARNA (BÜKK)</t>
  </si>
  <si>
    <t>Roh vodící liš. na šroub sv. hnědá (buk)</t>
  </si>
  <si>
    <t>Roh vodiacej liš. na šroub sv. hnedá (bu</t>
  </si>
  <si>
    <t>SAR.EL.VEZ.SÍ. CSAVARRA VI.BARNA (BÜKK)</t>
  </si>
  <si>
    <t>Vodicí lišta 8 mm na zafrézování bílá</t>
  </si>
  <si>
    <t>vodiaca lišta 8 mm na zafrézovanie biela</t>
  </si>
  <si>
    <t>VEZETŐSÍN  8 mm BEMARÁSRA FEHÉR</t>
  </si>
  <si>
    <t>Vodicí oblouk 90 °  -   8 mm bílá</t>
  </si>
  <si>
    <t>vodiaci oblúk 90 °  -   8 mm biela</t>
  </si>
  <si>
    <t>Kluzný kolík 8 mm bílá</t>
  </si>
  <si>
    <t>klzný kolík 8 mm biela</t>
  </si>
  <si>
    <t>CSÚSZKA 8 mm FEHÉR</t>
  </si>
  <si>
    <t>Roletový profil E23 černá</t>
  </si>
  <si>
    <t>Roletový profil E23 čierna</t>
  </si>
  <si>
    <t>REDŐNY PROFIL E23 FEKETE</t>
  </si>
  <si>
    <t>Koncová lišta javor</t>
  </si>
  <si>
    <t>VÉGZÁRÓ LÉC JÁVOR</t>
  </si>
  <si>
    <t>Vyvažovacia súprava C6</t>
  </si>
  <si>
    <t>Mechanizm roletowy  C6</t>
  </si>
  <si>
    <t>KIEGYENLÍTŐ SZERKEZET C6</t>
  </si>
  <si>
    <t>Roh vodící liš. na šroub bílá</t>
  </si>
  <si>
    <t>SAR.EL.VEZ.SÍ. CSAVARRA FEHÉR</t>
  </si>
  <si>
    <t>Roh vodící liš. na šroub šedá</t>
  </si>
  <si>
    <t>Roh vodiacej liš. na šroub šedá</t>
  </si>
  <si>
    <t>SAR.EL.VEZ.SÍ. CSAVARRA SZÜRKE</t>
  </si>
  <si>
    <t>Roh vodící liš. na šroub béžová (javor)</t>
  </si>
  <si>
    <t>Roh vodiacej liš. na šroub bežová (javor</t>
  </si>
  <si>
    <t>SAR.EL.VEZ.SÍ. CSAVARRA DRAPP (JÁVOR)</t>
  </si>
  <si>
    <t>Roh vodící liš. na šroub hnědá (třešeň)</t>
  </si>
  <si>
    <t>Roh vodiacej liš. na šroub hnedá (čerešň</t>
  </si>
  <si>
    <t>SAR.EL.VEZ.SÍ. CSAVARRA BARNA (CSERESZ.)</t>
  </si>
  <si>
    <t>Vodicí lišta 8 mm na zafrézování černá</t>
  </si>
  <si>
    <t>vodiaca lišta 8 mm na zafrézovanie čiern</t>
  </si>
  <si>
    <t>VEZETŐSÍN  8 mm BEMARÁSRA FEKETE</t>
  </si>
  <si>
    <t>Krycí lišta dekor třešeň</t>
  </si>
  <si>
    <t>Krycia lišta dekor čerešňa</t>
  </si>
  <si>
    <t>TAKARÓLÉC dekor CSERESZNYE</t>
  </si>
  <si>
    <t>R92816</t>
  </si>
  <si>
    <t>Zarážka 20mm pro konc. lištu ALU Kombi</t>
  </si>
  <si>
    <t>Zarážka 20mm pre konc. lištu ALU Kombi</t>
  </si>
  <si>
    <t>Kluzný kolík 8 mm s brzdou šedá</t>
  </si>
  <si>
    <t>klzný kolík 8 mm s brzdou šedá</t>
  </si>
  <si>
    <t>CSÚSZKA 8 mm FÉKKEL SZÜRKE</t>
  </si>
  <si>
    <t>Krycí lišta dekor hliník (plast)</t>
  </si>
  <si>
    <t>Krycia lišta dekor hliník (plast)</t>
  </si>
  <si>
    <t>TAKARÓLÉC dekor ALU (MŰANYAG)</t>
  </si>
  <si>
    <t>Vodicí lišta na šroub béžová (javor)</t>
  </si>
  <si>
    <t>vodiaca lišta na skrutku bežová (javor)</t>
  </si>
  <si>
    <t>VEZETŐSÍN  CSAVARRA DRAPP (JÁVOR)</t>
  </si>
  <si>
    <t>Vodicí lišta na šroub šedá</t>
  </si>
  <si>
    <t>vodiaca lišta na skrztku šedá</t>
  </si>
  <si>
    <t>VEZETŐSÍN  CSAVARRA SZÜRKE</t>
  </si>
  <si>
    <t>Vodicí lišta na šroub bílá</t>
  </si>
  <si>
    <t>VEZETŐSÍN  CSAVARRA FEHÉR</t>
  </si>
  <si>
    <t>Vodicí lišta na šroub černá</t>
  </si>
  <si>
    <t>VEZETŐSÍN  CSAVARRA FEKETE</t>
  </si>
  <si>
    <t>Kluzný kolík 8 mm černá</t>
  </si>
  <si>
    <t>klzný kolík 8 mm čierna</t>
  </si>
  <si>
    <t>CSÚSZKA 8 mm FEKETE</t>
  </si>
  <si>
    <t>Koncová lišta bílá</t>
  </si>
  <si>
    <t>Koncová lišta biela</t>
  </si>
  <si>
    <t>VÉGZÁRÓ LÉC FEHÉR</t>
  </si>
  <si>
    <t>Koncová lišta třešeň</t>
  </si>
  <si>
    <t>Koncová lišta čerešňa</t>
  </si>
  <si>
    <t>VÉGZÁRÓ LÉC CSERESZNYE</t>
  </si>
  <si>
    <t>Roletový profil E23 bílá</t>
  </si>
  <si>
    <t>Roletový profil E23 biela</t>
  </si>
  <si>
    <t>REDŐNY PROFIL E23 FEHÉR</t>
  </si>
  <si>
    <t>Vodicí oblouk 90 °  -   8 mm černá</t>
  </si>
  <si>
    <t>vodiaci oblúk 90 °  -   8 mm čierna</t>
  </si>
  <si>
    <t>VEZETŐ ÍV90 ° - 8 mm FEKETE</t>
  </si>
  <si>
    <t>Roh vodiacej liš. na šr. sv. šedá (hliní</t>
  </si>
  <si>
    <t>Rolet. prof. Metal-line 20mm  ALU 230L</t>
  </si>
  <si>
    <t>RED.PROF. Metal-line 20mm ALU 230L</t>
  </si>
  <si>
    <t>Kluzný kolík Metallic-line 20mm černá</t>
  </si>
  <si>
    <t>klzný kolík Metallic-line 20mm čierna</t>
  </si>
  <si>
    <t>CSÚSZKA Metallic-line 20mm FEKETE</t>
  </si>
  <si>
    <t>Konc. lišta ALU kombi ALU 230L</t>
  </si>
  <si>
    <t>Koncová lišta ALU Kombi nerez 360L</t>
  </si>
  <si>
    <t>Kluzný kolík konc. lišty ALU Kombi šedá</t>
  </si>
  <si>
    <t>klzný kolík konc. lišty ALU Kombi šedá</t>
  </si>
  <si>
    <t>CSÚSZKA VÉG.ZLÉCHEZ ALU Kombi SZÜRKE</t>
  </si>
  <si>
    <t>TAKARÓLÉC ÁTNYÚL. ALU ALU 230L</t>
  </si>
  <si>
    <t>Krycí lišta s přesahem ALU nerez 360L</t>
  </si>
  <si>
    <t>Krycia lišta s presahom ALU nerez 360L</t>
  </si>
  <si>
    <t>TAKARÓLÉC ÁTNYÚL. ALU NEMESAC. 360L</t>
  </si>
  <si>
    <t>stred. úch. lišta C3 ALU sada. ALU 230L</t>
  </si>
  <si>
    <t>KÖZÉPSŐ TARTÓ LÉC C3 ALU+ADAPT.ALU 230L</t>
  </si>
  <si>
    <t>Vodící lišta 29mm Metal-line  ALU 230L</t>
  </si>
  <si>
    <t>vodiaca lišta 29mm Metal-line  ALU 230L</t>
  </si>
  <si>
    <t>VEZETŐ SÍN  29mm Metal-line ALU 230L</t>
  </si>
  <si>
    <t>Vodící lišta 29mm Metal-line  nerez 360L</t>
  </si>
  <si>
    <t>vodiaca lišta 29mm Metal-line  nerez 360</t>
  </si>
  <si>
    <t>VEZETŐ SÍN 29mm Metal-line NEMESAC. 360L</t>
  </si>
  <si>
    <t>Vyvažovací mechanika C3 - 600 mm</t>
  </si>
  <si>
    <t>Vyvažovacia mechanika C3 - 600 mm</t>
  </si>
  <si>
    <t>Mechanizm roletowy C3 - 600 mm</t>
  </si>
  <si>
    <t>KIEGYENLÍTŐ SZERKEZET C3 - 600 mm</t>
  </si>
  <si>
    <t>Vodicí šnek 8 mm, kapacita 1590mm  černá</t>
  </si>
  <si>
    <t>vodiaci slimák 8 mm, kapacita 1590mm  či</t>
  </si>
  <si>
    <t>VEZETŐCSIGA 8 mm, kapac. 1590mm FEKETE</t>
  </si>
  <si>
    <t>Vyvažovací mechanika C3 - 800 mm</t>
  </si>
  <si>
    <t>Vyvažovacia mechanika C3 - 800 mm</t>
  </si>
  <si>
    <t>Mechanizm roletowy  C3 - 800 mm</t>
  </si>
  <si>
    <t>KIEGYENLÍTŐ SZERKEZET C3 - 800 mm</t>
  </si>
  <si>
    <t>Vyvažovací mechanika C3 - 1000 mm</t>
  </si>
  <si>
    <t>Vyvažovacia mechanika C3 - 1000 mm</t>
  </si>
  <si>
    <t>Mechanizm roletowy  C3 - 1000 mm</t>
  </si>
  <si>
    <t>KIEGYENLÍTŐ SZERKEZET C3 - 1000 mm</t>
  </si>
  <si>
    <t>Vyvažovací mechanika C3 - 1200 mm</t>
  </si>
  <si>
    <t>Vyvažovacia mechanika C3 - 1200 mm</t>
  </si>
  <si>
    <t>Mechanizm roletowy  C3 - 1200 mm</t>
  </si>
  <si>
    <t>KIEGYENLÍTŐ SZERKEZET C3 - 1200 mm</t>
  </si>
  <si>
    <t>Roletový profil E23 bříza</t>
  </si>
  <si>
    <t>Roletový profil E23 breza</t>
  </si>
  <si>
    <t>REDŐNY PROFIL E23 NYÍR</t>
  </si>
  <si>
    <t>Koncová lišta bříza</t>
  </si>
  <si>
    <t>Koncová lišta breza</t>
  </si>
  <si>
    <t>VÉGZÁRÓ LÉC NYÍR</t>
  </si>
  <si>
    <t>Krycí lišta dekor buk</t>
  </si>
  <si>
    <t>Krycia lišta dekor buk</t>
  </si>
  <si>
    <t>TAKARÓLÉC dekor BÜKK</t>
  </si>
  <si>
    <t>Vyvažovací mechanika C3 - 400 mm</t>
  </si>
  <si>
    <t>Vyvažovacia mechanika C3 - 400 mm</t>
  </si>
  <si>
    <t>Mechanizm roletowy  C3 - 400 mm</t>
  </si>
  <si>
    <t>KIEGYENLÍTŐ SZERKEZET C3 - 400 mm</t>
  </si>
  <si>
    <t>R95590</t>
  </si>
  <si>
    <t>Přechodka mezi FRAME a mech. C3 černá</t>
  </si>
  <si>
    <t>Priechodka medzi FRAME a mech. C3 čierna</t>
  </si>
  <si>
    <t>ÁTMENET A FRAME ÉS MECH.KÖ.C3 FEKETE</t>
  </si>
  <si>
    <t>Krycí lišta uni černá</t>
  </si>
  <si>
    <t>Krycia lišta uni čierna</t>
  </si>
  <si>
    <t>TAKARÓLÉC uni FEKETE</t>
  </si>
  <si>
    <t>Krycí lišta uni bílá</t>
  </si>
  <si>
    <t>Krycia lišta uni biela</t>
  </si>
  <si>
    <t>Krycí lišta uni šedá</t>
  </si>
  <si>
    <t>Krycia lišta uni šedá</t>
  </si>
  <si>
    <t>TAKARÓLÉC uni SZÜRKE</t>
  </si>
  <si>
    <t>Krycí lišta dekor javor</t>
  </si>
  <si>
    <t>Krycia lišta dekor javor</t>
  </si>
  <si>
    <t>TAKARÓLÉC dekor JÁVOR</t>
  </si>
  <si>
    <t>Krycí lišta dekor bříza</t>
  </si>
  <si>
    <t>Krycia lišta dekor breza</t>
  </si>
  <si>
    <t>TAKARÓLÉC dekor NYÍR</t>
  </si>
  <si>
    <t>Vodicí oblouk 90 °  Top/Frame</t>
  </si>
  <si>
    <t>vodiaci oblúk 90 °  Top/Frame</t>
  </si>
  <si>
    <t>VEZETŐ ÍV 90 ° Top/Frame</t>
  </si>
  <si>
    <t>Krycí profil Frame ALU 230L</t>
  </si>
  <si>
    <t>TAKARÓ PROFIL Frame ALU 230L</t>
  </si>
  <si>
    <t>Koncová lišta s přes. ALU spodní díl ALU</t>
  </si>
  <si>
    <t>Koncová lišta s pres. ALU spodný diel AL</t>
  </si>
  <si>
    <t>VÉGZÁRÓ LÉC ÁTNYÚL.ALU ALSÓ RÉSZ ALU</t>
  </si>
  <si>
    <t>Vodicí lišta Frame-spodní díl, ALU 230L</t>
  </si>
  <si>
    <t>vodiaca lišta Frame-spodný diel, ALU 230</t>
  </si>
  <si>
    <t>VEZETŐSÍN  Frame-ALSÓ RÉSZ, ALU 230L</t>
  </si>
  <si>
    <t>Krycí lišta s přesahem ALU - spodní díl</t>
  </si>
  <si>
    <t>Krycia lišta s presahom ALU - spodný die</t>
  </si>
  <si>
    <t>TAKARÓLÉC ÁTNYÚL. ALU - ALSÓ RÉSZ</t>
  </si>
  <si>
    <t>Krycí profil Top černá</t>
  </si>
  <si>
    <t>Krycí profil Top čierna</t>
  </si>
  <si>
    <t>Krycí profil Top bílá</t>
  </si>
  <si>
    <t>Krycí profil Top biela</t>
  </si>
  <si>
    <t>Krycí profil Top šedá</t>
  </si>
  <si>
    <t>TAKARÓ PROFIL Top SZÜRKE</t>
  </si>
  <si>
    <t>Krycí profil Top  hliník (plast)</t>
  </si>
  <si>
    <t>TAKARÓ PROFIL Top ALU (MŰANYAG)</t>
  </si>
  <si>
    <t>Krycí profil Top buk</t>
  </si>
  <si>
    <t>TAKARÓ PROFIL Top BÜKK</t>
  </si>
  <si>
    <t>Krycí profil Top třešeň</t>
  </si>
  <si>
    <t>Krycí profil Top čerešňa</t>
  </si>
  <si>
    <t>Krycí profil Top javor</t>
  </si>
  <si>
    <t>TAKARÓ PROFIL Top JÁVOR</t>
  </si>
  <si>
    <t>Krycí profil Top bříza</t>
  </si>
  <si>
    <t>Krycí profil Top breza</t>
  </si>
  <si>
    <t>TAKARÓ PROFIL Top NYÍR</t>
  </si>
  <si>
    <t>Krycí profil Top ALU 230L</t>
  </si>
  <si>
    <t>TAKARÓ PROFIL Top ALU 230L</t>
  </si>
  <si>
    <t>Vodicí lišta Top-spodní díl, ALU 230L</t>
  </si>
  <si>
    <t>vodiaca lišta Top-spodný diel, ALU 230L</t>
  </si>
  <si>
    <t>VEZETŐSÍN  Top-ALSÓ RÉSZ, ALU 230L</t>
  </si>
  <si>
    <t>Vodicí šnek Top/Frame, kapacita 1240mm</t>
  </si>
  <si>
    <t>Vodiaci slimák Top/Frame, kapacita 1240m</t>
  </si>
  <si>
    <t>VEZETŐCSIGA Top/Frame, kapac. 1240mm</t>
  </si>
  <si>
    <t>Krycí profil Frame černá</t>
  </si>
  <si>
    <t>Krycí profil Frame čierna</t>
  </si>
  <si>
    <t>Krycí profil Frame bílá</t>
  </si>
  <si>
    <t>Krycí profil Frame biela</t>
  </si>
  <si>
    <t>Krycí profil Frame šedá</t>
  </si>
  <si>
    <t>TAKARÓ PROFIL Frame SZÜRKE</t>
  </si>
  <si>
    <t>Krycí profil Frame hliník (plast)</t>
  </si>
  <si>
    <t>Krycí profil Frame třešeň</t>
  </si>
  <si>
    <t>Krycí profil Frame čerešňa</t>
  </si>
  <si>
    <t>Krycí profil Frame javor</t>
  </si>
  <si>
    <t>TAKARÓ PROFIL Frame JÁVOR</t>
  </si>
  <si>
    <t>Krycí profil Frame bříza</t>
  </si>
  <si>
    <t>Krycí profil Frame breza</t>
  </si>
  <si>
    <t>TAKARÓ PROFIL Frame NYÍR</t>
  </si>
  <si>
    <t>Koncovky Frame  černá</t>
  </si>
  <si>
    <t>Koncovky Frame  bílá</t>
  </si>
  <si>
    <t>Koncovky Frame  sv. hnědá (buk)</t>
  </si>
  <si>
    <t>Koncovky Frame  sv. hnedá (buk)</t>
  </si>
  <si>
    <t>Koncovky Frame  hnědá (třešeň)</t>
  </si>
  <si>
    <t>Koncovky Frame  hnedá (čerešňa)</t>
  </si>
  <si>
    <t>VÉGZŐ ELEM Frame BARNA (CSERESZNYE)</t>
  </si>
  <si>
    <t>Koncovky Frame  béžová (javor)</t>
  </si>
  <si>
    <t>Koncovky Frame  bežová (javor)</t>
  </si>
  <si>
    <t>VÉGZŐ ELEM Frame DRAPP (JÁVOR)</t>
  </si>
  <si>
    <t>Koncovky Frame  béžová (bříza)</t>
  </si>
  <si>
    <t>Koncovky Frame  bežová (breza)</t>
  </si>
  <si>
    <t>VÉGZŐ ELEM Frame DRAPP (NYÍR)</t>
  </si>
  <si>
    <t>Vodicí šnek 8 mm, kapacita   670mm černá</t>
  </si>
  <si>
    <t>vodiaci slimák 8 mm, kapacita 670mm čier</t>
  </si>
  <si>
    <t>VEZETŐCSIGA 8 mm, kapac. 670mm FEKETE</t>
  </si>
  <si>
    <t>Vodicí šnek 8 mm, kapacita 1280 mm černá</t>
  </si>
  <si>
    <t>vodiaci slimák 8 mm, kapacita 1280mm čie</t>
  </si>
  <si>
    <t>VEZETŐCSIGA 8 mm, kapac. 1280 mm FEKETE</t>
  </si>
  <si>
    <t>Lepiciaca páska,  50 m v kotúči</t>
  </si>
  <si>
    <t>Vodicí šnek 8 mm, kapacita 1280 mm šedá</t>
  </si>
  <si>
    <t>Vodiaci slimák 8 mm, kapacita 1280 mm še</t>
  </si>
  <si>
    <t>VEZETŐCSIGA 8 mm, kapac. 1280 mm SZÜRKE</t>
  </si>
  <si>
    <t>Kluzný kolík 8 mm s brzdou černá</t>
  </si>
  <si>
    <t>klzný kolík 8 mm s brzdou čierna</t>
  </si>
  <si>
    <t>CSÚSZKA 8 mm FÉKKEL FEKETE</t>
  </si>
  <si>
    <t>Kryt koncové lišty s přesahem černá</t>
  </si>
  <si>
    <t>Kryt koncovej lišty s presahom čierna</t>
  </si>
  <si>
    <t>Kryt koncové lišty s přesahem bílá</t>
  </si>
  <si>
    <t>Kryt koncovej lišty s presahom biela</t>
  </si>
  <si>
    <t>Kryt koncové lišty s přesahem šedá</t>
  </si>
  <si>
    <t>Kryt koncovej lišty s presahom šedá</t>
  </si>
  <si>
    <t>Kryt konc. lišty s přesah. hliník(plast)</t>
  </si>
  <si>
    <t>Kryt konc. lišty s presah. hliník(plast)</t>
  </si>
  <si>
    <t>VÉGZÁRÓ LÉC TAKARÓ ÁTNYÚL. ALU(MŰANYAG)</t>
  </si>
  <si>
    <t>Kryt koncové lišty s přesahem třešeň</t>
  </si>
  <si>
    <t>Kryt koncovej lišty s presahom čerešňa</t>
  </si>
  <si>
    <t>VÉGZÁRÓ LÉC TAKARÓ ÁTNYÚL. CSERESZNYE</t>
  </si>
  <si>
    <t>Kryt koncové lišty s přesahem javor</t>
  </si>
  <si>
    <t>Kryt koncovej lišty s presahom javor</t>
  </si>
  <si>
    <t>VÉGZÁRÓ LÉC TAKARÓ ÁTNYÚL. JÁVOR</t>
  </si>
  <si>
    <t>Kryt koncové lišty s přesahem bříza</t>
  </si>
  <si>
    <t>Kryt koncovej lišty s presahom breza</t>
  </si>
  <si>
    <t>VÉGZÁRÓ LÉC TAKARÓ ÁTNYÚL. NYÍR</t>
  </si>
  <si>
    <t>Kryt krycí lišty s přesahem - uni černá</t>
  </si>
  <si>
    <t>Kryt krycej lišty s presahom - uni čiern</t>
  </si>
  <si>
    <t>Kryt krycí lišty s přesahem - uni bílá</t>
  </si>
  <si>
    <t>Kryt krycej lišty s presahom - uni biela</t>
  </si>
  <si>
    <t>Kryt krycí lišty s přesahem - uni šedá</t>
  </si>
  <si>
    <t>Kryt krycej lišty s presahom - uni šedá</t>
  </si>
  <si>
    <t>Kryt krycí lišty s přes. hliník (plast)</t>
  </si>
  <si>
    <t>TAK.TAKARÓLÉCRE ÁTNYÚL.ALU (MŰANYAG)</t>
  </si>
  <si>
    <t>Kryt krycí lišty s přesahem třešeň</t>
  </si>
  <si>
    <t>Kryt krycej lišty s presahom čerešňa</t>
  </si>
  <si>
    <t>TAK.TAKARÓLÉCRE ÁTNYÚL. CSERESZNYE</t>
  </si>
  <si>
    <t>Kryt krycí lišty s přesahem javor</t>
  </si>
  <si>
    <t>Kryt krycej lišty s presahom javor</t>
  </si>
  <si>
    <t>TAK.TAKARÓLÉCRE ÁTNYÚL. JÁVOR</t>
  </si>
  <si>
    <t>Kryt krycí lišty s přesahem bříza</t>
  </si>
  <si>
    <t>Kryt krycej lišty s presahom breza</t>
  </si>
  <si>
    <t>TAK.TAKARÓLÉCRE ÁTNYÚL. NYÍR</t>
  </si>
  <si>
    <t>Kluzný kolík pro R95817 černá</t>
  </si>
  <si>
    <t>klzný kolík pre R95817 čierna</t>
  </si>
  <si>
    <t>Kluzný kolík pro R95817 sv. šedá</t>
  </si>
  <si>
    <t>Koncová lišta s přesahem  ALU 230L</t>
  </si>
  <si>
    <t>Koncová lišta s presahom  ALU 230L</t>
  </si>
  <si>
    <t>Prodlužovací adaptér pro mechaniku C3</t>
  </si>
  <si>
    <t>Predlžovací adaptér pre mechaniku C3</t>
  </si>
  <si>
    <t>HOSSZAB.ADAPTER A MECHANIK. C3</t>
  </si>
  <si>
    <t>Krycí lišta ALU (profil L)  ALU 230L</t>
  </si>
  <si>
    <t>TAKARÓLÉC ALU (profil L) ALU 230L</t>
  </si>
  <si>
    <t>R96930</t>
  </si>
  <si>
    <t>Flexibilní vodicí lišta FLEX  8mm černá</t>
  </si>
  <si>
    <t>flexibilná vodiaca lišta FLEX  8mm čiern</t>
  </si>
  <si>
    <t>R96939</t>
  </si>
  <si>
    <t>Flexibilní vodicí lišta FLEX  8 mm šedá</t>
  </si>
  <si>
    <t>flexibilná vodiaca lišta FLEX  8 mm šedá</t>
  </si>
  <si>
    <t>Flexibi. VEZETŐSÍN  FLEX 8 mm SZÜRKE</t>
  </si>
  <si>
    <t>Středová úch. lišta C3  hliník (plast)</t>
  </si>
  <si>
    <t>Stredová úch. lišta C3  hliník (plast)</t>
  </si>
  <si>
    <t>KÖZÉPSŐ TARTÓ LÉC C3 ALU (MŰANYAG)</t>
  </si>
  <si>
    <t>Kluzný kolík 8mm s brzd. sv. hnědá (buk)</t>
  </si>
  <si>
    <t>klzný kolík 8mm s brzd. sv. hnedá (buk)</t>
  </si>
  <si>
    <t>CSÚSZKA 8mm FÉKKEL VIL.BARNA (BÜKK)</t>
  </si>
  <si>
    <t>Koncová lišta třeš. Havana</t>
  </si>
  <si>
    <t>Koncová lišta čereš. Havana</t>
  </si>
  <si>
    <t>VÉGZÁRÓ LÉC CSER. Havana</t>
  </si>
  <si>
    <t>Koncová lišta calvados</t>
  </si>
  <si>
    <t>VÉGZÁRÓ LÉC CALVADOSZ</t>
  </si>
  <si>
    <t>Koncová lišta ALU 27 mm ALU 230L</t>
  </si>
  <si>
    <t>VÉGZÁRÓ LÉC ALU 27 mm ALU 230L</t>
  </si>
  <si>
    <t>Kluzný kolík konc. lišty ALU 27 mm čer</t>
  </si>
  <si>
    <t>klzný kolík konc. lišty ALU 27 mm čier</t>
  </si>
  <si>
    <t>CSÚSZKA VÉG.ZLÉCHEZ ALU 27 mm FEK</t>
  </si>
  <si>
    <t>CZ</t>
  </si>
  <si>
    <t>SK</t>
  </si>
  <si>
    <t>PL</t>
  </si>
  <si>
    <t>HU</t>
  </si>
  <si>
    <t>Jazyk</t>
  </si>
  <si>
    <t>R93228+R96219</t>
  </si>
  <si>
    <t>R92848+R96219</t>
  </si>
  <si>
    <t>R92852+R96219</t>
  </si>
  <si>
    <t>R92853+R96219</t>
  </si>
  <si>
    <t>R95782</t>
  </si>
  <si>
    <t>R92812</t>
  </si>
  <si>
    <t>R92854+R96219</t>
  </si>
  <si>
    <t>Kód dodání</t>
  </si>
  <si>
    <t>Kluz kolík E23</t>
  </si>
  <si>
    <t>Šnek asi šed</t>
  </si>
  <si>
    <t>Ano</t>
  </si>
  <si>
    <t>Ne</t>
  </si>
  <si>
    <t>R99999</t>
  </si>
  <si>
    <t>Zákazník</t>
  </si>
  <si>
    <t xml:space="preserve">Klient </t>
  </si>
  <si>
    <t>Nazwa</t>
  </si>
  <si>
    <t>Ulica:</t>
  </si>
  <si>
    <t>Ulica</t>
  </si>
  <si>
    <t>Mesto:</t>
  </si>
  <si>
    <t>Miasto</t>
  </si>
  <si>
    <t>NIP</t>
  </si>
  <si>
    <t>Tel:</t>
  </si>
  <si>
    <t>Tel</t>
  </si>
  <si>
    <t>Poznámky</t>
  </si>
  <si>
    <t>Uwagi</t>
  </si>
  <si>
    <t>Zľava</t>
  </si>
  <si>
    <t>Zniżka</t>
  </si>
  <si>
    <t xml:space="preserve">Ilość szt. </t>
  </si>
  <si>
    <t>Směr posuvu</t>
  </si>
  <si>
    <t>Smer posunutia</t>
  </si>
  <si>
    <t>Kierunek ruchu</t>
  </si>
  <si>
    <t>Typ systému vedení</t>
  </si>
  <si>
    <t>Typ systému vedenia</t>
  </si>
  <si>
    <t>Typ systemu prowadzenia</t>
  </si>
  <si>
    <t>Barevné provedení</t>
  </si>
  <si>
    <t>Farebné prevedenie</t>
  </si>
  <si>
    <t>Kolor</t>
  </si>
  <si>
    <t>Objed. kód</t>
  </si>
  <si>
    <t>Objed.kód</t>
  </si>
  <si>
    <t>Kod</t>
  </si>
  <si>
    <t>Sortiment</t>
  </si>
  <si>
    <t>Sortyment</t>
  </si>
  <si>
    <t>Množstvo</t>
  </si>
  <si>
    <t xml:space="preserve">Ilość </t>
  </si>
  <si>
    <t>Cena za sztukę</t>
  </si>
  <si>
    <t>Celkem bez DPH</t>
  </si>
  <si>
    <t>Cena bez DPH</t>
  </si>
  <si>
    <t>Roleta</t>
  </si>
  <si>
    <t xml:space="preserve">Listwa końcowa </t>
  </si>
  <si>
    <t>Krycia lišta</t>
  </si>
  <si>
    <t>Listwa maskująca</t>
  </si>
  <si>
    <t>Vodiace lišty</t>
  </si>
  <si>
    <t>Listwa torowa</t>
  </si>
  <si>
    <t>Celkom</t>
  </si>
  <si>
    <t xml:space="preserve">W sumie </t>
  </si>
  <si>
    <t>Dekor - buk, čerešňa, javor, chróm, čerešňa, havana,calvados, transparen.</t>
  </si>
  <si>
    <t xml:space="preserve">Dekor - buk, czereśnia, brzoza, klon, chrom, czereśnia havana, calavados, transparent. </t>
  </si>
  <si>
    <t>aluminium</t>
  </si>
  <si>
    <t>stal nierdzewna</t>
  </si>
  <si>
    <t>Komponenty</t>
  </si>
  <si>
    <t>Kompomenty</t>
  </si>
  <si>
    <t>Roletový pancier</t>
  </si>
  <si>
    <t>Koncová lišta +klzné kolíky</t>
  </si>
  <si>
    <t>Listwa końcowa + ślizgacze</t>
  </si>
  <si>
    <t>Vodiaca lišta + rohy</t>
  </si>
  <si>
    <t xml:space="preserve">Listwa torowa + rogi </t>
  </si>
  <si>
    <t>Vyvažovací mechanika C3</t>
  </si>
  <si>
    <t xml:space="preserve">VYVAŽOVACIA MECHANIKA C3 </t>
  </si>
  <si>
    <t>Pastelové farby - biela, čierna, šedá</t>
  </si>
  <si>
    <t>Kolory pastelowe - biały, czarny, szary</t>
  </si>
  <si>
    <t>Metallic line - hliník, nerez</t>
  </si>
  <si>
    <t>Metallicline - aluminium, stal nierdzewna</t>
  </si>
  <si>
    <t xml:space="preserve">Metallic line - set </t>
  </si>
  <si>
    <t>pro tuto variantu lze použít následující SET:</t>
  </si>
  <si>
    <t>pre túto variantu sa dá použiť následujúci set</t>
  </si>
  <si>
    <t xml:space="preserve">do tego wariantu można zastosować następujący SET: </t>
  </si>
  <si>
    <t>Vyvažovacie mechanizmy</t>
  </si>
  <si>
    <t>Označenie</t>
  </si>
  <si>
    <t xml:space="preserve">Oznaczenie </t>
  </si>
  <si>
    <t>Rozmer</t>
  </si>
  <si>
    <t>Rozmiar</t>
  </si>
  <si>
    <t xml:space="preserve">Cena </t>
  </si>
  <si>
    <t>Naložený systém s C3</t>
  </si>
  <si>
    <t>Nakładany system z C3</t>
  </si>
  <si>
    <t>Dozadu</t>
  </si>
  <si>
    <t>Do tyłu</t>
  </si>
  <si>
    <t>Do šneku</t>
  </si>
  <si>
    <t>Do slimáka</t>
  </si>
  <si>
    <t>Do ślimaka roletowego</t>
  </si>
  <si>
    <t>S mechanikou C3</t>
  </si>
  <si>
    <t>Z mecjanizmem C3</t>
  </si>
  <si>
    <t>Transparentní</t>
  </si>
  <si>
    <t>Transparentný</t>
  </si>
  <si>
    <t>Transparentny</t>
  </si>
  <si>
    <t>Bez omedzenia</t>
  </si>
  <si>
    <t>Bez ograniczeń</t>
  </si>
  <si>
    <t>nelze použít vyvažování s mechanikou C3</t>
  </si>
  <si>
    <t>nedá sa použiť vyvažovanie s mechanikou C3</t>
  </si>
  <si>
    <t>nie można zastosować z mechanizmem wyważającym C3</t>
  </si>
  <si>
    <t>nevyhovuje žádný C BOX</t>
  </si>
  <si>
    <t>nevyhovuje žiadny C BOX</t>
  </si>
  <si>
    <t>nie odpowiada żadny C BOX</t>
  </si>
  <si>
    <t>nevyhovuje žádný SET</t>
  </si>
  <si>
    <t>nevyhovuje žiadny SET</t>
  </si>
  <si>
    <t>nie odpowiada żadny SET</t>
  </si>
  <si>
    <t>s rozmermi šírka-500, výška 600-1000</t>
  </si>
  <si>
    <t>o rozmiarach szerokość - 500, wysokość - 600-1000</t>
  </si>
  <si>
    <t>s rozmermi šírka-500, výška 1000-1500</t>
  </si>
  <si>
    <t>o rozmiarach szerokość - 500, wysokość -1000-1500</t>
  </si>
  <si>
    <t>s rozmermi šírka-600,výška 1000-1500</t>
  </si>
  <si>
    <t>o rozmiarach szerokość - 600, wysokość - 600-1000</t>
  </si>
  <si>
    <t>s rozmermi šírka-600, výška 1000-1500</t>
  </si>
  <si>
    <t>o rozmiarach szerokość - 600, wysokość - 1000-1500</t>
  </si>
  <si>
    <t>s rozmermi šírka-900, výška 600-1000</t>
  </si>
  <si>
    <t>o rozmiarach szerokość - 900, wysokość - 600-1000</t>
  </si>
  <si>
    <t>s rozmermi šírka-900, výška 1000-1500</t>
  </si>
  <si>
    <t>o rozmiarach szerokość - 900, wysokość - 1000-1500</t>
  </si>
  <si>
    <t>nedá sa</t>
  </si>
  <si>
    <t>nie można</t>
  </si>
  <si>
    <t>Sleva</t>
  </si>
  <si>
    <t>Počet ks</t>
  </si>
  <si>
    <t>Systém navíjení</t>
  </si>
  <si>
    <t>Systém navíjania</t>
  </si>
  <si>
    <t>Roletový profil</t>
  </si>
  <si>
    <t>Poplatek za přípravu setu na míru</t>
  </si>
  <si>
    <t>x</t>
  </si>
  <si>
    <t>Na zafrézování (Classic)</t>
  </si>
  <si>
    <t>Na šroubování (Top basic)</t>
  </si>
  <si>
    <t xml:space="preserve">TOP </t>
  </si>
  <si>
    <t>směr</t>
  </si>
  <si>
    <t>-</t>
  </si>
  <si>
    <t>ALU-s přes.</t>
  </si>
  <si>
    <t>Krycí lišty</t>
  </si>
  <si>
    <t>ML20</t>
  </si>
  <si>
    <t>E23</t>
  </si>
  <si>
    <t>ALU 27mm -Zámk.</t>
  </si>
  <si>
    <t>S přes.</t>
  </si>
  <si>
    <t>-13</t>
  </si>
  <si>
    <t>Kombi</t>
  </si>
  <si>
    <t>Koncové lišty</t>
  </si>
  <si>
    <t>ALU 29mm</t>
  </si>
  <si>
    <t>TOP-Basic</t>
  </si>
  <si>
    <t>Classic 8mm, 12mm</t>
  </si>
  <si>
    <t>Konc. Lišta plast</t>
  </si>
  <si>
    <t>ALU-L-tvar/UNI, Dekor</t>
  </si>
  <si>
    <t>Profily</t>
  </si>
  <si>
    <t>Malá hloubka pro navíjení!</t>
  </si>
  <si>
    <t>Vyberte mechaniku C3!</t>
  </si>
  <si>
    <t>Nelze použít šnek!</t>
  </si>
  <si>
    <t>Nelze použít mech. C3!</t>
  </si>
  <si>
    <t>Lepící páska pro podlepení žaluzií</t>
  </si>
  <si>
    <t>R95879M</t>
  </si>
  <si>
    <t>V</t>
  </si>
  <si>
    <t>Š</t>
  </si>
  <si>
    <t>počet</t>
  </si>
  <si>
    <t>Roletowy profil E4 czarny</t>
  </si>
  <si>
    <t>Roletowy profil E4 szary</t>
  </si>
  <si>
    <t>Roletowy profil E4 al.(plast)</t>
  </si>
  <si>
    <t>Roletowy profil E4 buk</t>
  </si>
  <si>
    <t>Prof.ślizgacz E4 biały</t>
  </si>
  <si>
    <t>Rolet. prof. Metal-line 25mm al. 230L</t>
  </si>
  <si>
    <t>Rolet. prof. Metal-line 25mm nierdz. 360</t>
  </si>
  <si>
    <t>Ślizgacz Metallic-line 25mm czarny</t>
  </si>
  <si>
    <t>Listwa tor. 12mm do zafrez. czarna</t>
  </si>
  <si>
    <t>Listwa tor. 12mm do zafrez. szara</t>
  </si>
  <si>
    <t>Środkowa amort.8mm czarna</t>
  </si>
  <si>
    <t>Środkowa amort.8mm biała</t>
  </si>
  <si>
    <t>Środkowa amort.8mm szara</t>
  </si>
  <si>
    <t>Środkowa amort.8mm jas.brąz (buk)</t>
  </si>
  <si>
    <t>Środkowa amort.12mm czarna</t>
  </si>
  <si>
    <t>Środkowa amort.12mm szara</t>
  </si>
  <si>
    <t>Róg list.tor.90 °-12mm czarny</t>
  </si>
  <si>
    <t>Róg list.tor.90 °-12mm szary</t>
  </si>
  <si>
    <t>Ślimak rolety 12mm, dł.zwoju 670mm czar.</t>
  </si>
  <si>
    <t>Ślimak rolety 12mm, dł.zwoju 1280mm czar</t>
  </si>
  <si>
    <t>Amortyz.środkowa Top czarna</t>
  </si>
  <si>
    <t>Amortyz.środkowa Top biała</t>
  </si>
  <si>
    <t>Amortyz.środkowa Top szara</t>
  </si>
  <si>
    <t>Amortyz.środkowa Top jas. szara (al.)</t>
  </si>
  <si>
    <t>Amortyz.środkowa Top jas.brąz.(buk)</t>
  </si>
  <si>
    <t>Amortyz.środkowa Top beżowa(jawor)</t>
  </si>
  <si>
    <t>Amortyz.środkowa Top brąz.(czereś.)</t>
  </si>
  <si>
    <t>Profil kryjący Top czereś.Havana</t>
  </si>
  <si>
    <t>Profil kryjący Top calvados</t>
  </si>
  <si>
    <t>Ślizgacz 12 mm czarna</t>
  </si>
  <si>
    <t>Ślizgacz 12 mm biała</t>
  </si>
  <si>
    <t>Ślizgacz 12 mm szara</t>
  </si>
  <si>
    <t>Ślizgacz 12 mm jas. brąz (buk)</t>
  </si>
  <si>
    <t>Prof.łącz. do śr.lis.uchwyt.</t>
  </si>
  <si>
    <t>Magn.amort. prof.lis.koń ALU 27mm</t>
  </si>
  <si>
    <t>Zaślepki do toru pionow. R00037</t>
  </si>
  <si>
    <t>Uchwyt mechan. C3-metal.</t>
  </si>
  <si>
    <t>Zaślepka do toru pionow. R92845 lewa</t>
  </si>
  <si>
    <t>Zaślepka do toru pionow. R92845 prawa</t>
  </si>
  <si>
    <t>Zaślepka do toru pionow. R92846 lewa</t>
  </si>
  <si>
    <t>Ślizgacz do śr.list.uchw. Czarny</t>
  </si>
  <si>
    <t>Koncová lišta s presahom  nerez 360L</t>
  </si>
  <si>
    <t>Listwa końcowa alum.(plast)</t>
  </si>
  <si>
    <t>Roletowy profil E23 al.(plast.)</t>
  </si>
  <si>
    <t>Listwa tor. 8mm do zafrez. szara</t>
  </si>
  <si>
    <t>Róg list.tor.90 °-8mm szary</t>
  </si>
  <si>
    <t>Ślizgacz 8 mm szary</t>
  </si>
  <si>
    <t>Roletowy profil E23 czereśnia</t>
  </si>
  <si>
    <t>Roletowy profil E23 czereś.Havana</t>
  </si>
  <si>
    <t>Roletowy profil E23 calvados</t>
  </si>
  <si>
    <t>Listwa maskująca dekor czereśnia Havana</t>
  </si>
  <si>
    <t>Listwa maskująca calvados</t>
  </si>
  <si>
    <t>Listwa tor. na wkręt brąz(Havana)</t>
  </si>
  <si>
    <t>Listwa tor. na wkręt brąz(calvados)</t>
  </si>
  <si>
    <t>Listwa tor. na wkręt beżowa(brzoza)</t>
  </si>
  <si>
    <t>Narożnik lis.tor.na wkr. Brązowy (Havana</t>
  </si>
  <si>
    <t>Narożnik lis.tor.na wkr. Brązowy (calv.)</t>
  </si>
  <si>
    <t>Narożnik lis.tor.na wkr. Beżowy (brzoza)</t>
  </si>
  <si>
    <t>Środkowa listwa uchwytowa C3-uni czar.</t>
  </si>
  <si>
    <t>Środkowa listwa uchwytowa C3-uni biał.</t>
  </si>
  <si>
    <t>Środkowa listwa uchwytowa C3-uni szara</t>
  </si>
  <si>
    <t>Środkowa listwa uchwytowa C3-dekor buk</t>
  </si>
  <si>
    <t>Listwa końcowa buk</t>
  </si>
  <si>
    <t>Roletowy profil E23 buk</t>
  </si>
  <si>
    <t>Listwa końcowa czarna</t>
  </si>
  <si>
    <t>Listwa tor. na wkręt brąz(czereś.)</t>
  </si>
  <si>
    <t>Narożnik lis.tor.na wkr. czarny</t>
  </si>
  <si>
    <t>Ślizgacz 8 mm jas.brąz.(buk)</t>
  </si>
  <si>
    <t>Roletowy profil Matal-line 20mm nierdz 3</t>
  </si>
  <si>
    <t>Roletowy profil E23 jawor</t>
  </si>
  <si>
    <t>Listwa tor. 8mm do zafrez.jas.br.buk</t>
  </si>
  <si>
    <t>Róg list.tor.90 °-8mm js.brąz (buk)</t>
  </si>
  <si>
    <t>Listwa końcowa szara</t>
  </si>
  <si>
    <t>Roletowy profil E23 szary</t>
  </si>
  <si>
    <t>Listwa tor. na wkręt jas.brąz(buk)</t>
  </si>
  <si>
    <t>Narożnik lis.tor.na wkr. jas.brąz.(buk)</t>
  </si>
  <si>
    <t>Listwa tor. 8mm do zafrez. biała</t>
  </si>
  <si>
    <t>Róg list.tor.90 °- 8mm biały</t>
  </si>
  <si>
    <t>Ślizgacz 8 mm biały</t>
  </si>
  <si>
    <t>Roletowy profil E23 czarny</t>
  </si>
  <si>
    <t>Listwa końcowa jawor</t>
  </si>
  <si>
    <t>Narożnik lis.tor.na wkr. Biały</t>
  </si>
  <si>
    <t>Narożnik lis.tor.na wkr. Szary</t>
  </si>
  <si>
    <t>Narożnik lis.tor.na wkr. Beżowy (jawor)</t>
  </si>
  <si>
    <t>Narożnik lis.tor.na wkr. Brązowy (czerś.</t>
  </si>
  <si>
    <t>Listwa tor. 8mm do zafrez. czarna</t>
  </si>
  <si>
    <t>Listwa maskująca dekor czereśnia</t>
  </si>
  <si>
    <t>Ogran.20mm do koń.list.ALU Kombi</t>
  </si>
  <si>
    <t>Ślizgacz 8mm z hamulcem szary</t>
  </si>
  <si>
    <t>Listwa maskująca dekor alum. (plast.)</t>
  </si>
  <si>
    <t>Listwa tor. na wkręt beżowa(jawor)</t>
  </si>
  <si>
    <t>Listwa tor. na wkręt szara</t>
  </si>
  <si>
    <t>Listwa tor. na wkręt biała</t>
  </si>
  <si>
    <t>Listwa tor. na wkręt czarna</t>
  </si>
  <si>
    <t>Ślizgacz 8 mm czarny</t>
  </si>
  <si>
    <t>Listwa końcowa biała</t>
  </si>
  <si>
    <t>Listwa końcowa czereśnia</t>
  </si>
  <si>
    <t>Roletowy profil E23 biały</t>
  </si>
  <si>
    <t>Róg list.tor.90 °- 8mm czarny</t>
  </si>
  <si>
    <t>Narożnik lis.tor.na wkr. jas.szary (al.)</t>
  </si>
  <si>
    <t>Roletowy profil Metal-line 20mm ALU 230L</t>
  </si>
  <si>
    <t>Ślizgacz Metallic-line 20mm nierdz czarn</t>
  </si>
  <si>
    <t>Listwa końcowa ALU kombi ALU 230L</t>
  </si>
  <si>
    <t>Listwa końcowa ALU Kombi nierdz 360L</t>
  </si>
  <si>
    <t>Ślizgacz do listwy koń. ALU Kombi szara</t>
  </si>
  <si>
    <t>Osłona listwy mask. z uskokiem ALU nierd</t>
  </si>
  <si>
    <t>Śr. List. Uchw. C3 ALU z ad.ALU 230L</t>
  </si>
  <si>
    <t>Listwa torowa Metal-line ALU 230L</t>
  </si>
  <si>
    <t>Listwa torowa Metal-line nierdz. 360L</t>
  </si>
  <si>
    <t>Ślimak rolety 8mm, dł.zwoju 1590mm czar.</t>
  </si>
  <si>
    <t>Roletowy profil E23 brzoza</t>
  </si>
  <si>
    <t>Listwa końcowa brzoza</t>
  </si>
  <si>
    <t>Listwa maskująca dekor buk</t>
  </si>
  <si>
    <t>Listwa maskująca uni czarna</t>
  </si>
  <si>
    <t>Listwa maskująca uni biała</t>
  </si>
  <si>
    <t>Listwa maskująca uni szara</t>
  </si>
  <si>
    <t>Listwa maskująca dekor jawor</t>
  </si>
  <si>
    <t>Listwa maskująca dekor brzoza</t>
  </si>
  <si>
    <t>Róg list.tor. 90 °  Top/Frame</t>
  </si>
  <si>
    <t>Profil kryjący Frame ALU 230L</t>
  </si>
  <si>
    <t>Listwa końcowa z uskokiem ALU dolna częś</t>
  </si>
  <si>
    <t>Listwa tor.Frame-dol.część, ALU 230L</t>
  </si>
  <si>
    <t>Listwa maskująca z uskokiem ALU-dolna cz</t>
  </si>
  <si>
    <t>Profil kryjący Top czarny</t>
  </si>
  <si>
    <t>Profil kryjący Top biały</t>
  </si>
  <si>
    <t>Profil kryjący Top szary</t>
  </si>
  <si>
    <t>Profil kryjący Top al.(plast)</t>
  </si>
  <si>
    <t>Profil kryjący Top buk</t>
  </si>
  <si>
    <t>Profil kryjący Top czerś.</t>
  </si>
  <si>
    <t>Profil kryjący Top jawor</t>
  </si>
  <si>
    <t>Profil kryjący Top brzoza</t>
  </si>
  <si>
    <t>Profil kryjący Top ALU 230L</t>
  </si>
  <si>
    <t>Listwa tor.Top-dolna część, ALU 230L</t>
  </si>
  <si>
    <t>Ślimak rolety Top/Frame, dł.zwoju 1240mm</t>
  </si>
  <si>
    <t>Profil kryjący Frame czar.</t>
  </si>
  <si>
    <t>Profil kryjący Frame biały</t>
  </si>
  <si>
    <t>Profil kryjący Frame szary</t>
  </si>
  <si>
    <t>Profil kryjący Frame al.(plast)</t>
  </si>
  <si>
    <t>Profil kryjący Frame czereś.</t>
  </si>
  <si>
    <t>Profil kryjący Frame jawor</t>
  </si>
  <si>
    <t>Profil kryjący Frame brzoza</t>
  </si>
  <si>
    <t>Zaślepka Frame czarna</t>
  </si>
  <si>
    <t>Zaślepka Frame biała</t>
  </si>
  <si>
    <t>Zaślepka Frame szara</t>
  </si>
  <si>
    <t>Zaślepka Frame beżowa(brzoza)</t>
  </si>
  <si>
    <t>Ślimak rolety 8mm, dł.zwoju 670mm czar.</t>
  </si>
  <si>
    <t>Ślimak rolety 8mm, dł.zwoju 1280mm czar.</t>
  </si>
  <si>
    <t>Lepicí páska 50m role (podlepení žaluz.)</t>
  </si>
  <si>
    <t>Taśma klejąca, 50m w rolce</t>
  </si>
  <si>
    <t>Lepicí páska k podlepení žaluzií</t>
  </si>
  <si>
    <t>Ślimak rolety 8mm, dł.zwoju 1280mm szary</t>
  </si>
  <si>
    <t>Ślizgacz 8mm z hamulcem czarny</t>
  </si>
  <si>
    <t>Osłona lis.koń.z uskokiem czarna</t>
  </si>
  <si>
    <t>Osłona lis.koń.z uskokiem biała</t>
  </si>
  <si>
    <t>Osłona lis.koń.z uskokiem szara</t>
  </si>
  <si>
    <t>Osłona lis.koń.z uskokiem al.(plas.)</t>
  </si>
  <si>
    <t>Osłona lis.koń.z uskokiem czereśnia</t>
  </si>
  <si>
    <t>Osłona lis.koń.z uskokiem jawor</t>
  </si>
  <si>
    <t>Osłona lis.koń.z uskokiem brzoza</t>
  </si>
  <si>
    <t>Osłona listwy mask. z uskokiem-uni czarn</t>
  </si>
  <si>
    <t>Osłona listwy mask. z uskokiem-uni biała</t>
  </si>
  <si>
    <t>Osłona listwy mask. z uskokiem-uni szara</t>
  </si>
  <si>
    <t>Osłona listwy mask. z uskokiem alum.plas</t>
  </si>
  <si>
    <t>Osłona listwy mask. z uskokiem czereśnia</t>
  </si>
  <si>
    <t>Osłona listwy mask. z uskokiem jawor</t>
  </si>
  <si>
    <t>Osłona listwy mask. z uskokiem brzoza</t>
  </si>
  <si>
    <t>Ślizgacz do R95817 czarny</t>
  </si>
  <si>
    <t>Ślizgacz do R95817 jas.szary</t>
  </si>
  <si>
    <t>Listwa koń.z uskokiem ALU 230L</t>
  </si>
  <si>
    <t>Adapter przedłużający do mech.C3</t>
  </si>
  <si>
    <t>Krycia lišta ALU (profil L)  ALU 230L</t>
  </si>
  <si>
    <t>Listwa maskująca ALU (profil L) ALU 230L</t>
  </si>
  <si>
    <t>Elas.listwa tor.FLEX 8mm czarna</t>
  </si>
  <si>
    <t>Elas.listwa tor.FLEX 8mm szara</t>
  </si>
  <si>
    <t>Środkowa listwa uchwytowa C3-al.(plas)</t>
  </si>
  <si>
    <t>Ślizgacz 8mm z ham.jas.brąz (buk)</t>
  </si>
  <si>
    <t>Listwa końcowa czereśnia Havana</t>
  </si>
  <si>
    <t>Listwa końcowa calvados</t>
  </si>
  <si>
    <t>Listwa końcowa ALU 27mm ALU 230L</t>
  </si>
  <si>
    <t>Ślizgacz do listwy koń. ALU 27mm czar.</t>
  </si>
  <si>
    <t>Poplatek za přípravu žaluzií</t>
  </si>
  <si>
    <t>pro krácení</t>
  </si>
  <si>
    <t>Storno</t>
  </si>
  <si>
    <t>FRAME SP.</t>
  </si>
  <si>
    <t>TOP SP.</t>
  </si>
  <si>
    <t>Vodící prof přední / spodní</t>
  </si>
  <si>
    <t>Krycí prof. Vod. lišty</t>
  </si>
  <si>
    <t>Objednávka žaluzií</t>
  </si>
  <si>
    <t>Vertikální (ze shora dolů)</t>
  </si>
  <si>
    <t>R00068</t>
  </si>
  <si>
    <t>Výpis komponentů</t>
  </si>
  <si>
    <t>Návod</t>
  </si>
  <si>
    <t xml:space="preserve">Naložený systém s metallic-line vedením a mech. C3 </t>
  </si>
  <si>
    <t>Barevné náhledy jsou pouze orientační</t>
  </si>
  <si>
    <t>www.demos24plus.com</t>
  </si>
  <si>
    <t xml:space="preserve">Systém k našroubování. Vodící profily jsou pouze v nejbližší unibarvě. </t>
  </si>
  <si>
    <t>Dekor - buk, třešeň, bříza, javor, chrom, třešeň havana, calvados, transparentní</t>
  </si>
  <si>
    <t>Frame (naložený rámeček)</t>
  </si>
  <si>
    <t>Nelze použít navíjení do šneku</t>
  </si>
  <si>
    <t>Systém k našroubování. Jedná se o systém s hliníkovými vodícími lištami, které mají krytku identickou s dekorem použité rolety.</t>
  </si>
  <si>
    <t>Naložený systém (FRAME). Vedení tohoto systému je tvořeno ze dvou dílů a to hliníkové lišty a krytky která je barevně identická s dekorem použité rolety.</t>
  </si>
  <si>
    <t>Horizontální (zleva doprava)</t>
  </si>
  <si>
    <t>Pokud vyberete ano, žaluzie bude připravena jako set, nařezaná a sestavená pro konečnou montáž (nutno ještě upravit dle potřeby některé vodící lišty).</t>
  </si>
  <si>
    <t xml:space="preserve">Ver. </t>
  </si>
  <si>
    <t xml:space="preserve">Uvedené ceny jsou bez DPH, s platností k </t>
  </si>
  <si>
    <t>Vodiaca lišta 15,5 mm vertikálna ALU 230</t>
  </si>
  <si>
    <t>Listwa torowa 15,5mm pionowa ALU 230L</t>
  </si>
  <si>
    <t>VEZETŐSÍN  15,5 mm vertikális ALU 230L</t>
  </si>
  <si>
    <t>Komplet drążków wzpier. do mech C8</t>
  </si>
  <si>
    <t>TARTÓ MECHANIZMUS C3 - FÉM</t>
  </si>
  <si>
    <t>Profil kryjący Top 360L</t>
  </si>
  <si>
    <t>Profil kryjący nierdz 360L</t>
  </si>
  <si>
    <t>Takaró profil Frame nemes ac. 360L</t>
  </si>
  <si>
    <t>Listwa maskująca (profil L) nierdz 360</t>
  </si>
  <si>
    <t>Takaró léc nem.ac. (profil L)  nem.ac. 3</t>
  </si>
  <si>
    <t>Listwa koń.z uskokiem nierdz 360L</t>
  </si>
  <si>
    <t>Kluzný kolík 8 mm s brzdou bílý</t>
  </si>
  <si>
    <t>Vodiaca lišta na skrutku hnedá (čerešňa)</t>
  </si>
  <si>
    <t>Krycí lišta s přesahem ALU  230L</t>
  </si>
  <si>
    <t>Krycia lišta s presahom ALU  230L</t>
  </si>
  <si>
    <t>Osłona listwy mask. z uskokiem ALU  230L</t>
  </si>
  <si>
    <t>RAGASZTÓ SZALAG, 50 m tekercsben</t>
  </si>
  <si>
    <t>Lepiaca páska k podlepeniu žalúzií</t>
  </si>
  <si>
    <t>Taśma klejąca do przylepienia żaluzji</t>
  </si>
  <si>
    <t>RAGASZTÓ SZALAG REDŐNYÖK RAGASZT.</t>
  </si>
  <si>
    <t>CSÚSZKA R95817-hez VIL.SZÜRKE</t>
  </si>
  <si>
    <t>Koncová lišta calvádos</t>
  </si>
  <si>
    <t>Poplatok za prípravu žalúzií</t>
  </si>
  <si>
    <t>Redőny megrendelés</t>
  </si>
  <si>
    <t>Vevő</t>
  </si>
  <si>
    <t>Megnevezés</t>
  </si>
  <si>
    <t>Utca</t>
  </si>
  <si>
    <t>Hely</t>
  </si>
  <si>
    <t>Azonosító szám:</t>
  </si>
  <si>
    <t>Megjegyzések</t>
  </si>
  <si>
    <t>Engedmény</t>
  </si>
  <si>
    <t>Darab szám</t>
  </si>
  <si>
    <t>Amennyiben az igent választja a redőny elő lesz készítve mint szett, föl lesz vágva és összelesz rakva szerelésre készen (az egyes vezető síneket kell megváltoztatni a szükség szerint)</t>
  </si>
  <si>
    <t>Tekercselési rendszer</t>
  </si>
  <si>
    <t>A mozgás iránya</t>
  </si>
  <si>
    <t>A vezetési rendszer típusa</t>
  </si>
  <si>
    <t>Szín</t>
  </si>
  <si>
    <t>A megrendelés kódja</t>
  </si>
  <si>
    <t>Áruválaszték</t>
  </si>
  <si>
    <t>Mennyiség</t>
  </si>
  <si>
    <t>Egység ár</t>
  </si>
  <si>
    <t>Ár összesen ÁFA nélkül</t>
  </si>
  <si>
    <t>A szállítás kódja</t>
  </si>
  <si>
    <t>Redőny profil</t>
  </si>
  <si>
    <t>Végző elem</t>
  </si>
  <si>
    <t>Takaró léc</t>
  </si>
  <si>
    <t>Vezető profil</t>
  </si>
  <si>
    <t>A méretre való előkészítés díja</t>
  </si>
  <si>
    <t>Összesen ÁFA nélkül</t>
  </si>
  <si>
    <t>Dekor - bükk, cseresznye, nyír, jávor, króm, cseresznye havana, calvados, átlátszó</t>
  </si>
  <si>
    <t>Vezető rendszer típus</t>
  </si>
  <si>
    <t>ALU</t>
  </si>
  <si>
    <t>Nemes acél</t>
  </si>
  <si>
    <t>Komponensek</t>
  </si>
  <si>
    <t>Redőny páncél</t>
  </si>
  <si>
    <t>Végzáró + csúszkák</t>
  </si>
  <si>
    <t>Vezető sín + sarkok</t>
  </si>
  <si>
    <t>Kiegyensúlyozó mechanika C3</t>
  </si>
  <si>
    <t>Pasztel színek - fehér, fekete szürke</t>
  </si>
  <si>
    <t>Metallic line - ALU, nemes acél</t>
  </si>
  <si>
    <t xml:space="preserve">Metallic line - szet </t>
  </si>
  <si>
    <t>ehhez a változathoz felhasználható a következő SZETT:</t>
  </si>
  <si>
    <t>Kiegyenlítő mechanizmusok</t>
  </si>
  <si>
    <t>Bejelölés</t>
  </si>
  <si>
    <t>Méret</t>
  </si>
  <si>
    <t>Ár</t>
  </si>
  <si>
    <t>Ráépített  rendszer C3-mal</t>
  </si>
  <si>
    <t>Hátra</t>
  </si>
  <si>
    <t>Csigába</t>
  </si>
  <si>
    <t>C3 mechanikával</t>
  </si>
  <si>
    <t>Függőleges (fentről le)</t>
  </si>
  <si>
    <t>Horizontális (balról jobbra)</t>
  </si>
  <si>
    <t>Átlátszó</t>
  </si>
  <si>
    <t>korlátozás nélkül</t>
  </si>
  <si>
    <t>kiegyensúlyozás nem használható  C3 mechanikával</t>
  </si>
  <si>
    <t>semmilyen C BOX nem felel meg</t>
  </si>
  <si>
    <t>semmilyen SZETT nem felel meg</t>
  </si>
  <si>
    <t>méretek szélesség-500, magasság 600-1000</t>
  </si>
  <si>
    <t>méretek szélesség-500, magasság 1000-1500</t>
  </si>
  <si>
    <t>méretek szélesség-600, magasság 600-1000</t>
  </si>
  <si>
    <t>méretek szélesség-600, magasság 1000-1500</t>
  </si>
  <si>
    <t>méretek szélesség-900, magasság 600-1000</t>
  </si>
  <si>
    <t>méretek szélesség-900, magasság 1000-1500</t>
  </si>
  <si>
    <t>nem lehet</t>
  </si>
  <si>
    <t>Igen</t>
  </si>
  <si>
    <t>Nem</t>
  </si>
  <si>
    <t>Sekély mélység a tekercselésre!</t>
  </si>
  <si>
    <t>Válassza ki aC3 mechanikát!</t>
  </si>
  <si>
    <t>Csiga nem használható!</t>
  </si>
  <si>
    <t>A C3 mech.nem használható!</t>
  </si>
  <si>
    <t>Nem használható tekercselés csigába</t>
  </si>
  <si>
    <t>Ragasztó szalag a redőnyök aláragasztására</t>
  </si>
  <si>
    <t>rövidítésre</t>
  </si>
  <si>
    <t>Az összetevők felsorolása</t>
  </si>
  <si>
    <t>Útmutatás</t>
  </si>
  <si>
    <t>Rendszer rácsavarozásra.  Olyan rendszerről van szó, amihez ALU vezető lécek tartoznak, amelyeknek a takarója identikus a redőny dekorral.</t>
  </si>
  <si>
    <t>Ráépítet rendszer (FRAME). A vezető rendszer két részből áll- ALU lécek és takarók, amelyek színben azonosak a felhasznált redőny dekorral</t>
  </si>
  <si>
    <t>A színes nézetek csak tájékoztató jellegűek</t>
  </si>
  <si>
    <t xml:space="preserve">Rendszer rácsavarozásra. A vezető profilok csak a legközelebb álló uni színben vannak. </t>
  </si>
  <si>
    <t xml:space="preserve">Az árak ÁFa nélül vannak megadva, hatályban , </t>
  </si>
  <si>
    <t>ME</t>
  </si>
  <si>
    <t>SZETT</t>
  </si>
  <si>
    <t>FM</t>
  </si>
  <si>
    <t>PÁR</t>
  </si>
  <si>
    <t>DB</t>
  </si>
  <si>
    <t>Csúszka 8 mm fékkel fehér</t>
  </si>
  <si>
    <t>Objednávka žalúzií</t>
  </si>
  <si>
    <t>Pokiaľ vyberiete áno, žalúzia bude pripravená ako set, narezaná a zostavená pre konečnú montáž (nutné ešte upraviť dľa potreby niektorej vodiacej lišty).</t>
  </si>
  <si>
    <t>Kód dodania</t>
  </si>
  <si>
    <t>Poplatok za prípravu setu na mieru</t>
  </si>
  <si>
    <t>Vertikálna  (zhora dolu)</t>
  </si>
  <si>
    <t>Horizontálna (zľava doprava)</t>
  </si>
  <si>
    <t>Áno</t>
  </si>
  <si>
    <t>Nie</t>
  </si>
  <si>
    <t>Malá hĺbka pre navíjanie!</t>
  </si>
  <si>
    <t>Nedá sa použiť slimák!</t>
  </si>
  <si>
    <t>Nedá sa použiť mech. C3!</t>
  </si>
  <si>
    <t>Nedá sa použiť navíjanie do slimáka</t>
  </si>
  <si>
    <t>Lepiaca páska pre podlepenie žalúzií</t>
  </si>
  <si>
    <t>pre krátenie</t>
  </si>
  <si>
    <t>Výpis komponentov</t>
  </si>
  <si>
    <t>Systém k naskrutkovaniu. Jedná se o systém s hliníkovými vodiacimi lištami, ktoré majú krytku identickú s dekorom použitej rolety.</t>
  </si>
  <si>
    <t>Naložený systém (FRAME). Vedenie tohoto systému je tvorené z dvoch dielov a to hliníkovej lišty a krytky ktorá je farebne identická s dekorom použitej rolety.</t>
  </si>
  <si>
    <t>Farebné náhľady sú iba orientačné</t>
  </si>
  <si>
    <t xml:space="preserve">Systém k naskrutkovaniu. Vodiace profily sú len v najbližšej unifarbe. </t>
  </si>
  <si>
    <t xml:space="preserve">Uvedené ceny sú bez DPH, s platnosťou k </t>
  </si>
  <si>
    <t>Zamawianie żaluzji</t>
  </si>
  <si>
    <t>Jeśli wybierzesz opcję "tak", żaluzja będzie przygotowana jako komplet, nacięta i przyszykowana do montażu (należy jeszcze poprawić niektóre tory)</t>
  </si>
  <si>
    <t>Kod dostawy</t>
  </si>
  <si>
    <t>Profil rolety</t>
  </si>
  <si>
    <t>Opłata za przygotowanie kompletu na miarę</t>
  </si>
  <si>
    <t xml:space="preserve">Mechanizm roletowy C3 </t>
  </si>
  <si>
    <t>Mechanizmy roletowe</t>
  </si>
  <si>
    <t>Pionowy (z góry na dół)</t>
  </si>
  <si>
    <t>Poziomy (z lewej strony na prawą)</t>
  </si>
  <si>
    <t>Tak</t>
  </si>
  <si>
    <t xml:space="preserve">Za mała głębokość na mech. roletowy (np. ślimak) </t>
  </si>
  <si>
    <t>Wybierz mechanizm roletowy C3</t>
  </si>
  <si>
    <t>nie można zastosować ślimaka rolety</t>
  </si>
  <si>
    <t>nie można zastosować mech.rolet. C3</t>
  </si>
  <si>
    <t>taśma klejąca do przyklejenia żaluzji</t>
  </si>
  <si>
    <t>do skracania</t>
  </si>
  <si>
    <t>Lista elementów</t>
  </si>
  <si>
    <t>Instrukcja</t>
  </si>
  <si>
    <t>Do przykręcania. Aluminiowe listwy torowe, które mają osłony w takim samym kolorze jak rolety.</t>
  </si>
  <si>
    <t>System nakładany (FRAME). Prowadnica tego systemu składa się z dwóch części: aluminowego toru i osłony, która jest w tym samym kolorze co roleta.</t>
  </si>
  <si>
    <t>Wzorniki kolorów są jedynie orientacyjne</t>
  </si>
  <si>
    <t>System do przykręcania. Tory są dostępne jedynie w unikolorach.</t>
  </si>
  <si>
    <t>Pion.</t>
  </si>
  <si>
    <t>JM</t>
  </si>
  <si>
    <t>KOMP.</t>
  </si>
  <si>
    <t>MB</t>
  </si>
  <si>
    <t>PAR.</t>
  </si>
  <si>
    <t>SZT.</t>
  </si>
  <si>
    <t>Ślizgacz 8 mm z hamulcem biały</t>
  </si>
  <si>
    <t>Pripraviť žalúzie na mieru?</t>
  </si>
  <si>
    <t>Przygotować żaluzje na miarę?</t>
  </si>
  <si>
    <t>Előkészítení a redőnyt méretre?</t>
  </si>
  <si>
    <t>Připravit žaluzie na míru?</t>
  </si>
  <si>
    <t>VEZETŐ ÍV 90 ° - 8 mm FEHÉR</t>
  </si>
  <si>
    <t>vodiaca lišta na skrutku biela</t>
  </si>
  <si>
    <t>Roh vodiacej liš. na skrutku biela</t>
  </si>
  <si>
    <t>Klzný kolík pre R95817 sv. šedá</t>
  </si>
  <si>
    <t>Kryt krycej lišty s pres. hliník (plast)</t>
  </si>
  <si>
    <t>127766</t>
  </si>
  <si>
    <t>Klzný kolík 8 mm s brzdou biely</t>
  </si>
  <si>
    <t>R00069</t>
  </si>
  <si>
    <t>HAMULEC CADDY(MONTAŻ NA PRAWO)  CZARNY</t>
  </si>
  <si>
    <t>Cena bez VAT</t>
  </si>
  <si>
    <t>vnitřní</t>
  </si>
  <si>
    <t>Rozměry skříňky</t>
  </si>
  <si>
    <t>(materiál tl. 18 mm)</t>
  </si>
  <si>
    <t>výška (mm):</t>
  </si>
  <si>
    <t>šířka (mm):</t>
  </si>
  <si>
    <t>hloubka (mm):</t>
  </si>
  <si>
    <t>šírka (mm):</t>
  </si>
  <si>
    <t>hĺbka (mm):</t>
  </si>
  <si>
    <t>wysokość (mm):</t>
  </si>
  <si>
    <t>szerokość (mm):</t>
  </si>
  <si>
    <t>głębokość (mm):</t>
  </si>
  <si>
    <t>magasság (mm):</t>
  </si>
  <si>
    <t>szélesség (mm):</t>
  </si>
  <si>
    <t>mélység (mm):</t>
  </si>
  <si>
    <t>kontrolní vnější</t>
  </si>
  <si>
    <t>M</t>
  </si>
  <si>
    <t>Red.prof.Metal-line 25mm ALU 230L</t>
  </si>
  <si>
    <t>Red.prof.Metal-line 25mm nemesac.360L</t>
  </si>
  <si>
    <t>Csúszka Metallic-line 25mm fekete</t>
  </si>
  <si>
    <t>Takaró profil Top cser.Havana</t>
  </si>
  <si>
    <t>Takaró profil Top calvados</t>
  </si>
  <si>
    <t>KÖZÉPSŐ TARTÓ LÉC C3 NEMESAC.360L</t>
  </si>
  <si>
    <t>Navíjecí mechanika C8</t>
  </si>
  <si>
    <t>Felcsévélő mechanizmus C8</t>
  </si>
  <si>
    <t>Végzáró léc átnyúl.Nemes ac.360L</t>
  </si>
  <si>
    <t>Brzda CADDY (montáž v pravo) černá</t>
  </si>
  <si>
    <t>Fék CADDY (szer.jobbra) fekete</t>
  </si>
  <si>
    <t>Vodicí lišta na šroub tm. šedá (hliník)</t>
  </si>
  <si>
    <t>VEZETŐ SÍN CSAVARRA VIL.SZÜRKE (ALU)</t>
  </si>
  <si>
    <t>Listwa tor. na wkręt ciem. szara(al.)</t>
  </si>
  <si>
    <t>KÖZÉPSŐ TARTÓ LÉC C3-uni FEHÉR</t>
  </si>
  <si>
    <t>Roh vodiacej liš. na skrutku čierna</t>
  </si>
  <si>
    <t>Navíjecí mechanika C6</t>
  </si>
  <si>
    <t>vodiaca lišta na skrutku čierna</t>
  </si>
  <si>
    <t>Roh vodící liš. na šr. tm. šedá (hliník)</t>
  </si>
  <si>
    <t>SAR.EL.VEZ.SÍ.CSAV.VIL.SZÜRKE (ALU)</t>
  </si>
  <si>
    <t>Végzáró léc ALU kombi ALU 230L</t>
  </si>
  <si>
    <t>Végzáró léc ALU Kombi nemesac. 360L</t>
  </si>
  <si>
    <t>Flexibi.VEZETŐSÍN FLEX 8mm FEKETE</t>
  </si>
  <si>
    <t>Takaró profil Top fekete</t>
  </si>
  <si>
    <t>takaró profilTop fehér</t>
  </si>
  <si>
    <t>Takaró profil Top cseresznye</t>
  </si>
  <si>
    <t>Takaró profil Frame fehér</t>
  </si>
  <si>
    <t>Takaró profilL Frame ALU műanyag)</t>
  </si>
  <si>
    <t>Takaró profil Frame cseresznye</t>
  </si>
  <si>
    <t>Végzáró Frame fehér</t>
  </si>
  <si>
    <t>Zaślepka Frame jas. szara (al.)</t>
  </si>
  <si>
    <t>VÉGZÁRÓ FrameVIL.BARNA (BÜKK)</t>
  </si>
  <si>
    <t>Zaślepka Frame jas.brąz (buk)</t>
  </si>
  <si>
    <t>Zaślepka Frame beżowa (jawor)</t>
  </si>
  <si>
    <t>Zaślepka Frame brązowa (czereś.)</t>
  </si>
  <si>
    <t>Przejście pomiędzy FRAME a mech.C3 czar.</t>
  </si>
  <si>
    <t>Végzáró tak.profilra átnyúl..fehér</t>
  </si>
  <si>
    <t>VÉGZÁRÓ LÉC TAKARÓ ÁTNYÚL.SZÜRKE</t>
  </si>
  <si>
    <t>VÉGZÁRÓ LÉC ÁTNYÚL.ALU 230L</t>
  </si>
  <si>
    <t>Csúszka R95817-hez fekete</t>
  </si>
  <si>
    <t>Tak.profil átnyúl.  - uni fehér</t>
  </si>
  <si>
    <t>TAK.TAKARÓLÉCRE ÁTNYÚL.- uni SZÜRKE</t>
  </si>
  <si>
    <t>opłata za przygotowanie żaluzji</t>
  </si>
  <si>
    <t>Hliník šířka 20 mm (metallic-line)</t>
  </si>
  <si>
    <t>Nerez šířka 20 mm (metallic-line)</t>
  </si>
  <si>
    <t>Hliník šírka 20 mm (metallic-line)</t>
  </si>
  <si>
    <t>Nerez šírka 25 mm (metallic-line)</t>
  </si>
  <si>
    <t>Aluminium szerokość 20 mm (metallic-line)</t>
  </si>
  <si>
    <t>Nierdz. szerokość 25 mm (metallic-line)</t>
  </si>
  <si>
    <t>Nierdz. szerokość 20 mm (metallic-line)</t>
  </si>
  <si>
    <t>Nerez šírka 20 mm (metallic-line)</t>
  </si>
  <si>
    <t>ALU szélesség 20 mm (metallic-line)</t>
  </si>
  <si>
    <t>Nemes acél szélesség 20 mm (metallic-line)</t>
  </si>
  <si>
    <t>Hliník šířka 25 mm (metallic-line)</t>
  </si>
  <si>
    <t>Hliník šírka 25 mm (metallic-line)</t>
  </si>
  <si>
    <t>Aluminium szerokość 25 mm (metallic-line)</t>
  </si>
  <si>
    <t>ALU szélesség 25 mm (metallic-line)</t>
  </si>
  <si>
    <t>Nerez šířka 25 mm (metallic-line)</t>
  </si>
  <si>
    <t>Nemes acél szélesség 25 mm (metallic-line)</t>
  </si>
  <si>
    <t>www.demos-trade.com</t>
  </si>
  <si>
    <t>Vždy používejte aktuální verzi formuláře, který je dostupný na našich stánkách.</t>
  </si>
  <si>
    <t>Vždy používajte aktuálnu verziu formuláru, ktorý je dostupný na našich stránkach.</t>
  </si>
  <si>
    <t>Prosimy korzystać zawsze z aktualnej wersji formularza umieszczonego na naszych stronach web.</t>
  </si>
  <si>
    <t>Mindig használja a legfrissebb megrendelő lapot, amelyet megtalál a web oldalunkon.</t>
  </si>
  <si>
    <t>Formulář obsahuje několik listů, mezi kterými je možné se přepínat ve spodní části.</t>
  </si>
  <si>
    <t xml:space="preserve">Vyplněnou objednávku zašlete na adresu </t>
  </si>
  <si>
    <t xml:space="preserve">Vyplnenú objednávku zašlite na adresu </t>
  </si>
  <si>
    <t>Zapisane zamówienie wyślij pod adres</t>
  </si>
  <si>
    <t>A kitöltött megrendelést küldje el a következő címre:</t>
  </si>
  <si>
    <t>objednavky@demos-trade.com</t>
  </si>
  <si>
    <t>zamowienia@demos-trade.com</t>
  </si>
  <si>
    <t>megrendelesek@demos-trade.com</t>
  </si>
  <si>
    <t>Formulár obsahuje niekoľko listov, medzi ktorými je možné sa prepínať v spodnej časti.</t>
  </si>
  <si>
    <t>Formularz składa się z kilku stron, które można przełączać w dolnej części.</t>
  </si>
  <si>
    <t>A megrendelési űrlap több lapot tartalmaz, ezek között váltani lehet az alsó részben.</t>
  </si>
  <si>
    <t xml:space="preserve">Do formuláře zadávejte pouze vnitřní rozměr skříňky (vnější rozměr je jen pro vaši kontrolu) </t>
  </si>
  <si>
    <t xml:space="preserve">Pokud je některá z položek na objednávku, může být minimální odběr pouze celé balení </t>
  </si>
  <si>
    <t>Montážní návody jsou k dispozici na našem portále www.demos24plus.com</t>
  </si>
  <si>
    <t>Montážne návody sú k dispozícii na našom portále www.demos24plus.com</t>
  </si>
  <si>
    <t>Instrukcje montażu są dostępne na naszym portalu www.demos24plus.com</t>
  </si>
  <si>
    <t>A szerelési útmutató megtalálható a honlapunkon www.demos24plus.com</t>
  </si>
  <si>
    <t>Kontaktní tel.</t>
  </si>
  <si>
    <t>Kontaktný tel.</t>
  </si>
  <si>
    <t>Telefon kontaktowy</t>
  </si>
  <si>
    <t>Kontakt telefon</t>
  </si>
  <si>
    <t>Kontaktní e-mail</t>
  </si>
  <si>
    <t>Kontaktný e -mail</t>
  </si>
  <si>
    <t>Adres e-mail</t>
  </si>
  <si>
    <t>Kontakt e-mail</t>
  </si>
  <si>
    <t>Adresa</t>
  </si>
  <si>
    <t>Adres</t>
  </si>
  <si>
    <t>Cím</t>
  </si>
  <si>
    <t>Názov</t>
  </si>
  <si>
    <t>Töltse ki kérem az elérhetőségét, ezután kattintson az alábbi mezőbe.</t>
  </si>
  <si>
    <t>Vyplněním kontaktních údajů vyjadřujete současně souhlas, že jste se seznámil s informacemi uvedenými níže!</t>
  </si>
  <si>
    <t>Vyplnením kontaktných údajov vyjadrujete súčasne súhlas, že ste sa zoznámil s informáciami uvedenými nižšie!</t>
  </si>
  <si>
    <t>Poprzez zapisanie danych potwierdzasz, że zapoznałeś się z podanymi niżej informacjami!</t>
  </si>
  <si>
    <t>Objednávkový formulář na rolety Rehau</t>
  </si>
  <si>
    <t>Objednávkový formulár na rolety Rehau</t>
  </si>
  <si>
    <t>Formularz zamowieniowy rolet Rehau</t>
  </si>
  <si>
    <t>Megrendelési űrlap Rehau redőnyökre</t>
  </si>
  <si>
    <t>Vyplňte prosím vaše kontaktní údaje a poté klikněte na políčko objednávka žaluzií</t>
  </si>
  <si>
    <t xml:space="preserve">Vyplňte prosím vaše kontaktné údaje a následne kliknite na políčko objednávka žalúzií. </t>
  </si>
  <si>
    <t>Wpisz proszę dane kontaktowe i kliknij w okienko zamawianie żaluzji.</t>
  </si>
  <si>
    <t>Formulář slouží jako pomocník pro konfiguraci, pro správné fungování rolety je nutné vždy dodržovat doporučení výrobce (Rehau)</t>
  </si>
  <si>
    <t>Ve formuláři nejsou vždy přesná omezení maximálního rozměru skříňky, dodržujte proto maximální rozměry doporučené výrobcem (Rehau)</t>
  </si>
  <si>
    <t>Pro vertikální rolety vyšší než 500 mm, doporučujeme vždy použít vhodný typ vyvažovací mechaniky (C3, C6, C8, Caddy)</t>
  </si>
  <si>
    <t>Hliník (metallic-line)</t>
  </si>
  <si>
    <t>Nerez (metallic-line)</t>
  </si>
  <si>
    <t>Aluminium (metallic-line)</t>
  </si>
  <si>
    <t>Nierdz. (metallic-line)</t>
  </si>
  <si>
    <t>ALU (metallic-line)</t>
  </si>
  <si>
    <t>Nemes acél (metallic-line)</t>
  </si>
  <si>
    <t xml:space="preserve">Maximální doporučená délka roletových profilů uvedených ve formuláři (šířka rolet. rohože) je 1200 mm </t>
  </si>
  <si>
    <t xml:space="preserve">Pokud ve formuláři při určitých zadaných parametrech není uvedená celková částka, jde o chybnou kombinaci (konzultujte s technickou podporou) </t>
  </si>
  <si>
    <t>KÖZÉP ÜTKÖZŐ 8 mm FEKETE</t>
  </si>
  <si>
    <t>KÖZÉP ÜTKÖZŐ 8 mm FEHÉR</t>
  </si>
  <si>
    <t>KÖZÉP ÜTKÖZŐ 8 mm SZÜRKE</t>
  </si>
  <si>
    <t>KÖZÉP ÜTKÖZŐ 8 mm VIL.BARNA (BÜKK)</t>
  </si>
  <si>
    <t>KÖZÉP ÜTKÖZŐ 12 mm FEKETE</t>
  </si>
  <si>
    <t>KÖZÉP ÜTKÖZŐ 12 mm SZÜRKE</t>
  </si>
  <si>
    <t>takaró profil Frame fekete</t>
  </si>
  <si>
    <t>Koncovky Frame čierna</t>
  </si>
  <si>
    <t>Végzáró Frame FEKETE</t>
  </si>
  <si>
    <t>Koncovky Frame biela</t>
  </si>
  <si>
    <t>Koncovky Frame sv. šedá</t>
  </si>
  <si>
    <t>Végzáró Frame szürke</t>
  </si>
  <si>
    <t>Koncovky Frame  tm. šedá (hliník)</t>
  </si>
  <si>
    <t>Végzáró Frame vil.szürke (ALU)</t>
  </si>
  <si>
    <t>végzáró léc takaró átnyúl.fekete</t>
  </si>
  <si>
    <t>Stredová úchytová lišta C3 - uni čierna</t>
  </si>
  <si>
    <t>középső tartó léc C3 - uni fekete</t>
  </si>
  <si>
    <t>Takaró léc uni fehér</t>
  </si>
  <si>
    <t>tak.takarólécre átnyúl.- uni fekete</t>
  </si>
  <si>
    <t>BRZDA CADDY(montáž v pravo) čierna</t>
  </si>
  <si>
    <t>System nawijania</t>
  </si>
  <si>
    <t>Rozmiar szafki</t>
  </si>
  <si>
    <t>Rozmery skrinky</t>
  </si>
  <si>
    <t>A szekrény méretei</t>
  </si>
  <si>
    <t>kontrolne zewnętrzne</t>
  </si>
  <si>
    <t>kontrolná vonkajšia</t>
  </si>
  <si>
    <t>ellenőrzésre külső</t>
  </si>
  <si>
    <t>wewnętrzne</t>
  </si>
  <si>
    <t>vnútorná</t>
  </si>
  <si>
    <t>belső</t>
  </si>
  <si>
    <t>(materiał gr. 18 mm)</t>
  </si>
  <si>
    <t>(materiál hr. 18 mm)</t>
  </si>
  <si>
    <t>(anyag va.18 mm)</t>
  </si>
  <si>
    <t>Do formularza należy zapisać wyłącznie rozmiary wewnętrzne szafki (rozmiary zewnętrzne służą do kontroli)</t>
  </si>
  <si>
    <t>Do formulára zadávajte len vnútorný rozmer skrinky (vonkajší rozmer je len pre vašu kontrolu)</t>
  </si>
  <si>
    <t>A szórólapba a szekrény belső méreteit kell beadni ( a külső méret csak ellenőrzésre szolgál)</t>
  </si>
  <si>
    <t>W wypadku, kiedy któraś z pozycji jest na zamówienie, minimalny odbiór wyłącznie w pełnych opakowaniach</t>
  </si>
  <si>
    <t>Pokiaľ je niektorá z položiek na objednávku, môže byť minimálny odber len celé balenie</t>
  </si>
  <si>
    <t>Amennyiben valamelyik tétel megrendelésre van, lehet a minimális megrendelés teljes csomagolás</t>
  </si>
  <si>
    <t>Do rolet pionowych powyżej 500mm zalecamy zastosowanie odpowiedniego mechanizmu (C3, C6, C8, Caddy)</t>
  </si>
  <si>
    <t>Pre vertikálne rolety vyššie než 500 mm, doporučujeme vždy použiť vhodný typ vyvažovacej mechaniky (C3, C6, C8, Caddy)</t>
  </si>
  <si>
    <t>500 mm-nél magasabb függőleges redőnynél mindig megfelelő típusú kiegyensúlyozó mechanika használatát ajánljuk (C3, C6, C8, Caddy)</t>
  </si>
  <si>
    <t>Formularz służy jako pomoc do konfiguracji, do właściwego działania rolety zawsze należy kierować się zaleceniami producenta (Rehau)</t>
  </si>
  <si>
    <t>Formulár slúži ako pomocník pre konfiguráciu, pre správne fungovanie rolety je nutné vždy dodržovať doporučenie výrobcu (Rehau)</t>
  </si>
  <si>
    <t>A szórólap, mint segítség szolgál a konfigurációhoz, a redőny helyes működéséhez mindig be kell tartani a gyártó ajánlatait (Rehau)</t>
  </si>
  <si>
    <t>Az elérhetőségi adatok kitöltésével egyben elismeri, hogy megismerkedett az alábbi információkkal!</t>
  </si>
  <si>
    <t>W formularzu nie zawsze są dokładnie podane ograniczenia maksymalnych rozmiarów szafki, należy zatem dotrzymywać zalecenia producenta (Rehau)</t>
  </si>
  <si>
    <t>Vo formulári nie sú vždy presné obmedzenia maximálneho rozmeru skrinky, dodržujte preto maximálne rozmery doporučené výrobcom (Rehau)</t>
  </si>
  <si>
    <t>A szórólapon nincsenek megadva a szekrény maximális méretei, tartsa be a gyártó által megadott maximális méreteket (Rehau)</t>
  </si>
  <si>
    <t>Maksymalna zalecana długość profili roletowych zapisanych w formularzu (szerokość maty roletowej) jest 1200 mm</t>
  </si>
  <si>
    <t>Maximálna doporučená dĺžka roletových profilov uvedených vo formulári (šírka rolet. rohože) je 1200 mm</t>
  </si>
  <si>
    <t>A redőnyprofil maximális hossza a szórólapon (a redőny szélessége) 1200 mm</t>
  </si>
  <si>
    <t>Jeżeli w formularzu po zapisaniu konkretnych danych nie pojawia się kwota końcowa, chodzi o błędną kombinację /połączenie danych/ (należy zwrócić się o pomoc do technika)</t>
  </si>
  <si>
    <t>Pokiaľ vo formulári pri určitých zadaných paramatroch nie je uvedená celková čiastka, ide o chybnú kombináciu (konzultujte s technickou podporou)</t>
  </si>
  <si>
    <t>Amennyiben a szórólapon egyes paraméterek beadásakor nincs megadva a végösszeg, rossz kombinációt választott (kérem lépjen kapcsolatba  a technikai támogatással)</t>
  </si>
  <si>
    <t>(zmianę danych można przeprowadzić na stronie wstępnej formularza)</t>
  </si>
  <si>
    <t>(úpravu údajov môžete previesť na liste úvod)</t>
  </si>
  <si>
    <t>(az adatakot javíthatja az előszó lapon)</t>
  </si>
  <si>
    <t>Wprowadzenie</t>
  </si>
  <si>
    <t>Úvod</t>
  </si>
  <si>
    <t>Előszó</t>
  </si>
  <si>
    <t>Vyvažovací mech. C3-400 mm+prodlužovací adaptér</t>
  </si>
  <si>
    <t>Vyvažovacia mech. C3-400 mm+predlžovací adaptér</t>
  </si>
  <si>
    <t>Mechanizm rol.  C3-400 mm+adapter przedłużający</t>
  </si>
  <si>
    <t>Kiegyenlítő szer. c3-400mm+hosszab.adap.</t>
  </si>
  <si>
    <t>Vyvažovací mech. C3-600 mm+prodlužovací adaptér</t>
  </si>
  <si>
    <t>Vyvažovacia mech. C3-600 mm+predlžovací adaptér</t>
  </si>
  <si>
    <t>Mechanizm rol. C3-600 mm+adapter przedłużający</t>
  </si>
  <si>
    <t>Kiegyenlítő szer. c3-600mm+hosszab.adap.</t>
  </si>
  <si>
    <t>Vyvažovací mech. C3-800 mm+prodlužovací adaptér</t>
  </si>
  <si>
    <t>Vyvažovacia mech. C3-800 mm+predlžovací adaptér</t>
  </si>
  <si>
    <t>Mechanizm rol.  C3-800 mm+adapter przedłużający</t>
  </si>
  <si>
    <t>Kiegyenlítő szer. c3-800mm+hosszab.adap.</t>
  </si>
  <si>
    <t>Vyvažovací mech. C3-1000 mm+prodlužovací adaptér</t>
  </si>
  <si>
    <t>Vyvažovacia mech. C3-1000 mm+predlžovací adaptér</t>
  </si>
  <si>
    <t>Mechanizm rol.  C3-1000 mm+adapter przedłużający</t>
  </si>
  <si>
    <t>Kiegyenlítő szer. c3-1000mm+hosszab.adap.</t>
  </si>
  <si>
    <t>Vyvažovací mech. C3-1200 mm+prodlužovací adaptér</t>
  </si>
  <si>
    <t>Vyvažovacia mech. C3-1200 mm+predlžovací adaptér</t>
  </si>
  <si>
    <t>Mechanizm rol.  C3-1200 mm+adapter przedłużający</t>
  </si>
  <si>
    <t>Kiegyenlítő szer. c3-1200mm+hosszab.adap.</t>
  </si>
  <si>
    <t>S*</t>
  </si>
  <si>
    <t>D</t>
  </si>
  <si>
    <t>FRAME C3</t>
  </si>
  <si>
    <t>TOP C3</t>
  </si>
  <si>
    <t>sad</t>
  </si>
  <si>
    <t>VEDENI</t>
  </si>
  <si>
    <t>NAVIJENI</t>
  </si>
  <si>
    <t>SMĚR</t>
  </si>
  <si>
    <t>BARVA</t>
  </si>
  <si>
    <t>PRIPRAVA</t>
  </si>
  <si>
    <t>Dopočet</t>
  </si>
  <si>
    <t>původní název</t>
  </si>
  <si>
    <t>nový název</t>
  </si>
  <si>
    <t>Naložený s krycí lištou (Frame)</t>
  </si>
  <si>
    <t>Vložený na šroubování plastový (TOP Basic)</t>
  </si>
  <si>
    <t>Vložený na šroubování kovový s krycí lištou (TOP)</t>
  </si>
  <si>
    <t>Vložený na zafrézování (Classic)</t>
  </si>
  <si>
    <t>Úkoly</t>
  </si>
  <si>
    <t>přidat nový bílý profil - pro TOP a pro Classic</t>
  </si>
  <si>
    <t>omezení rozměrů</t>
  </si>
  <si>
    <t>Zarážka pro TOP R92838</t>
  </si>
  <si>
    <t>Přidat fotky profilů do návodu</t>
  </si>
  <si>
    <t>přidat E9 a E4</t>
  </si>
  <si>
    <t>přidat možnost záměny koncové lišty</t>
  </si>
  <si>
    <t>řezání vedení - do návodu</t>
  </si>
  <si>
    <t>Středová úchyt lišta u černé</t>
  </si>
  <si>
    <t>BUK - není pro FRAME</t>
  </si>
  <si>
    <t>29mm ve spojení s plastovýni - upozornit na nerealné řešení</t>
  </si>
  <si>
    <t xml:space="preserve">Bílá verze </t>
  </si>
  <si>
    <t>Roletový profil E9 bílý / 26,5mm</t>
  </si>
  <si>
    <t>Středová úchytová lišta bílá 28mm</t>
  </si>
  <si>
    <t>Koncová lišta bílá E9</t>
  </si>
  <si>
    <t>kluzný kolík pro E9</t>
  </si>
  <si>
    <t>Krycí lišta pro E9 bílá</t>
  </si>
  <si>
    <t>E9 clasic</t>
  </si>
  <si>
    <t>středová úchytová lišta</t>
  </si>
  <si>
    <t>koncová lišta</t>
  </si>
  <si>
    <t>kluzný kolík ke koncové liště</t>
  </si>
  <si>
    <t>krycí lišta</t>
  </si>
  <si>
    <t xml:space="preserve">vodící lišta </t>
  </si>
  <si>
    <t>Rohová lišta</t>
  </si>
  <si>
    <t>Rohová lišta k zafrézování</t>
  </si>
  <si>
    <t>E9 TOP</t>
  </si>
  <si>
    <t>Vodící lišta TOP</t>
  </si>
  <si>
    <t>Kryt vodící lišty</t>
  </si>
  <si>
    <t>Roh TOP</t>
  </si>
  <si>
    <t>Šmek</t>
  </si>
  <si>
    <t>* na záda</t>
  </si>
  <si>
    <t>* šnek</t>
  </si>
  <si>
    <t>* C3</t>
  </si>
  <si>
    <t>E4 Classic Alu plast</t>
  </si>
  <si>
    <t>Roletový profil E4 alu plast / 60mm</t>
  </si>
  <si>
    <t>Středová úchytová lišta alu plast 28mm</t>
  </si>
  <si>
    <t>Koncová lišta alu plast</t>
  </si>
  <si>
    <t>kluzný kolík pro koncovou lištu</t>
  </si>
  <si>
    <t>Krycí lišta pro alu plast</t>
  </si>
  <si>
    <t>Veodící lišta Calssic E4 ALU PLAST</t>
  </si>
  <si>
    <t>Flexi vedení ne u E9</t>
  </si>
  <si>
    <t>formou tabulky</t>
  </si>
  <si>
    <t>Rozměry</t>
  </si>
  <si>
    <t>vedení do zadu</t>
  </si>
  <si>
    <t>šířka</t>
  </si>
  <si>
    <t>* jen horizontální posuvna záda</t>
  </si>
  <si>
    <t>Mechanika C8</t>
  </si>
  <si>
    <t xml:space="preserve">Naložený s metallic-line vedením 29mm a mech. C3 </t>
  </si>
  <si>
    <t xml:space="preserve">Frame - naložený s krycí lištou </t>
  </si>
  <si>
    <t>TOP - vložený na šroubování kovový s krycí lištou</t>
  </si>
  <si>
    <t>TOP Basic - vložený na šroubování plastový</t>
  </si>
  <si>
    <t>Classic - vložený na zafrézování</t>
  </si>
  <si>
    <t>Černá (E23)</t>
  </si>
  <si>
    <t>Bílá (E23)</t>
  </si>
  <si>
    <t>Šedá (E23)</t>
  </si>
  <si>
    <t>Hliník plast (E23)</t>
  </si>
  <si>
    <t>Buk (E23)</t>
  </si>
  <si>
    <t>Třešeň (E23)</t>
  </si>
  <si>
    <t>Javor (E23)</t>
  </si>
  <si>
    <t>Bříza (E23)</t>
  </si>
  <si>
    <t>Třešeň havana (E23)</t>
  </si>
  <si>
    <t>Calvados (E23)</t>
  </si>
  <si>
    <t>Hliník plast (E4)</t>
  </si>
  <si>
    <t>Profil E4</t>
  </si>
  <si>
    <t>E4</t>
  </si>
  <si>
    <t>E9</t>
  </si>
  <si>
    <t>Profil E9</t>
  </si>
  <si>
    <t xml:space="preserve">Vedící lišta Calssic bílá </t>
  </si>
  <si>
    <t xml:space="preserve">  Skupina</t>
  </si>
  <si>
    <t>Typ</t>
  </si>
  <si>
    <t>Zkrácený název</t>
  </si>
  <si>
    <t>Typ sortimentu</t>
  </si>
  <si>
    <t>DPH</t>
  </si>
  <si>
    <t>Doporučená cena</t>
  </si>
  <si>
    <t>Kód propočtů MJ</t>
  </si>
  <si>
    <t>Slevnitelný</t>
  </si>
  <si>
    <t>Prodejný</t>
  </si>
  <si>
    <t>Nakupovatelný</t>
  </si>
  <si>
    <t>Komisní</t>
  </si>
  <si>
    <t>Atest</t>
  </si>
  <si>
    <t>Popis</t>
  </si>
  <si>
    <t>Zálohovatelný obal</t>
  </si>
  <si>
    <t>Spotřební záruka (dnů)</t>
  </si>
  <si>
    <t>Spotřební záruka (měsíců)</t>
  </si>
  <si>
    <t>Sortiment na WEB</t>
  </si>
  <si>
    <t>Objem (dm3)</t>
  </si>
  <si>
    <t>Plocha (m2)</t>
  </si>
  <si>
    <t>Váha (kg)</t>
  </si>
  <si>
    <t>Procento cla</t>
  </si>
  <si>
    <t xml:space="preserve">  Balení</t>
  </si>
  <si>
    <t xml:space="preserve">  Rozbal.</t>
  </si>
  <si>
    <t>Kód skupiny atributů</t>
  </si>
  <si>
    <t>"Více jakostí?"</t>
  </si>
  <si>
    <t>Prodejní cena s DPH</t>
  </si>
  <si>
    <t xml:space="preserve">  Prodejní cena s DPH Sk</t>
  </si>
  <si>
    <t>Umístění</t>
  </si>
  <si>
    <t>V karatu</t>
  </si>
  <si>
    <t>WWW název</t>
  </si>
  <si>
    <t>WWW popis</t>
  </si>
  <si>
    <t>WWW Obr 1.</t>
  </si>
  <si>
    <t>WWW Obr 2.</t>
  </si>
  <si>
    <t xml:space="preserve">  Dodání SK</t>
  </si>
  <si>
    <t xml:space="preserve"> Dodání PL</t>
  </si>
  <si>
    <t xml:space="preserve"> Dodání HU</t>
  </si>
  <si>
    <t xml:space="preserve">  Kód sortimentu NS</t>
  </si>
  <si>
    <t xml:space="preserve">  Název sortimentu NS</t>
  </si>
  <si>
    <t>Obrázek</t>
  </si>
  <si>
    <t>Stav</t>
  </si>
  <si>
    <t>Poznamka</t>
  </si>
  <si>
    <t>Html odkaz</t>
  </si>
  <si>
    <t>Akce</t>
  </si>
  <si>
    <t>Provedl</t>
  </si>
  <si>
    <t>Uložení</t>
  </si>
  <si>
    <t>Sada 4 ks koncovek.</t>
  </si>
  <si>
    <t>STEFANKOVA</t>
  </si>
  <si>
    <t>J</t>
  </si>
  <si>
    <t>Barva: transparentní. Prodejná je jen v setu s připravenou žaluzií na míru. Na samostatný prodej je položka R95879</t>
  </si>
  <si>
    <t>VITKOVAH</t>
  </si>
  <si>
    <t>Koncová lišta ALU 27 mm - nerez 360L</t>
  </si>
  <si>
    <t>Végzáró ALU 27 mm - Nemesac.360L</t>
  </si>
  <si>
    <t>Końcowa listwa alum. 27 mm - nierdz. 360</t>
  </si>
  <si>
    <t>Roletový profil E23 RAL 7016</t>
  </si>
  <si>
    <t>Redőny profil E23 RAL 7016</t>
  </si>
  <si>
    <t>Profil roletowy E23 RAL 7016</t>
  </si>
  <si>
    <t>Koncová lišta RAL 7016</t>
  </si>
  <si>
    <t>KOV</t>
  </si>
  <si>
    <t>Végzáró léc RAL 7016</t>
  </si>
  <si>
    <t>Listwa końcowa RAL 7016</t>
  </si>
  <si>
    <t>Kontorla</t>
  </si>
  <si>
    <t>Krycí lišta RAL 7016</t>
  </si>
  <si>
    <t>Takaró léc RAL 7016</t>
  </si>
  <si>
    <t>Listwa maskująca RAL 7016</t>
  </si>
  <si>
    <t>Krycia lišta RAL 7016</t>
  </si>
  <si>
    <t>Roletový profil E9 hliník (plast)</t>
  </si>
  <si>
    <t>Redőny profil E9 alu (műanyag)</t>
  </si>
  <si>
    <t>Profil roletowy E9 alumin. (plastik)</t>
  </si>
  <si>
    <t>Plastová zarážka C3 pro koncovou lištu</t>
  </si>
  <si>
    <t>Műanyag dugó C3 végzáró profilba</t>
  </si>
  <si>
    <t>Plastikowy kołek C3 do listwy końcowej</t>
  </si>
  <si>
    <t>Vodicí šnek 8 mm, kapacita 1590mm šedá</t>
  </si>
  <si>
    <t>šedá barva RAL7035. minimální objednávka 220 ks</t>
  </si>
  <si>
    <t>Vezető csiga 8 mm, kapac. 1590mm szürke</t>
  </si>
  <si>
    <t>Roletový profil E4 černá, horizon.posuv,2dveře,vnitřní rozměry 1264x1870x900mm</t>
  </si>
  <si>
    <t>O!</t>
  </si>
  <si>
    <t>Profil E4 černý RAL9011, vedení zafrézované Classic 12 mm + oblouky, 2-dveřové provedení - vnitřní rozměry 1264x1870 x 900 mm (š x v x h)</t>
  </si>
  <si>
    <t>KOLAROVA</t>
  </si>
  <si>
    <t>Redőny profil E4 ALU (műanyag)</t>
  </si>
  <si>
    <t>Vezető prof. 12 mm bemarásra szürke</t>
  </si>
  <si>
    <t>Vezető ív 90 ° - 12 mm szürke</t>
  </si>
  <si>
    <t>Csúszka 12 mm szürke</t>
  </si>
  <si>
    <t>Roletový profil E9 zářivě bílá</t>
  </si>
  <si>
    <t>Roletový profil RAUVOLET E9 V3249 zářivě bílá, k dekoru W1000 Egger</t>
  </si>
  <si>
    <t>Redőny profil E9 fényes fehér</t>
  </si>
  <si>
    <t>Roletový profil E9 žiarivo biela</t>
  </si>
  <si>
    <t>Krycí profil Top zářivě bílá</t>
  </si>
  <si>
    <t>Krycí profil Top zářivě bílá V3249</t>
  </si>
  <si>
    <t>Takaró profil Top fényes fehér</t>
  </si>
  <si>
    <t>Krycí profil Top žiarivo biela</t>
  </si>
  <si>
    <t>Koncová lišta zářivě bílá</t>
  </si>
  <si>
    <t>Koncová lišta E9 V3249 zářivě bílá</t>
  </si>
  <si>
    <t>Végzáró léc fényes fehér</t>
  </si>
  <si>
    <t>Koncová lišta žiarivo biela</t>
  </si>
  <si>
    <t>Středová úchytová lišta zářivě bílá</t>
  </si>
  <si>
    <t>Středová úchytová lišta C3 - uni V3249 zářivě bílá</t>
  </si>
  <si>
    <t>Középső tartó léc fényes fehér</t>
  </si>
  <si>
    <t>Stredová úchytová lišta žiarivo biela</t>
  </si>
  <si>
    <t>Krycí lišta uni zářivě bílá</t>
  </si>
  <si>
    <t>Krycí lišta uni V3249 zářivě bílá</t>
  </si>
  <si>
    <t>Takaró profil uni fényes fehér</t>
  </si>
  <si>
    <t>Krycia lišta uni žiarivo biela</t>
  </si>
  <si>
    <t>Kluzný kolík 8 mm bílý RAL 9010 pro koncovou lištu E9</t>
  </si>
  <si>
    <t>Csúszka 8 mm fehér RAL 9010  E9 végzáró léchez</t>
  </si>
  <si>
    <t>Klzný kolík 8 mm biely RAL 9010 pre konc</t>
  </si>
  <si>
    <t>Návíjecí mechanika pro vyvažování rolety vedené dozadu. Pro tuto mechaniku je nezbytné prodloužit roletový pancíř o celou hloubku skříňky.</t>
  </si>
  <si>
    <t>524/23.Roletovy pancir E23 buk</t>
  </si>
  <si>
    <t>délka 2,5m - prodej na metry.</t>
  </si>
  <si>
    <t>ekonomická verze vhodná pro všechny systémy</t>
  </si>
  <si>
    <t>Montážní video naleznete na stránce: &lt;a href="http://youtu.be/A0vP4dQWhD0"&gt;http://youtu.be/A0vP4dQWhD0&lt;/a&gt;</t>
  </si>
  <si>
    <t>Součástí lišty je i dorazový profil R92840 a není nutné ho již objednávat samostatně. Kluzný kolík pro tuto lištu je pod kartou R92838.</t>
  </si>
  <si>
    <t>Středová úchytová lišta C3 ALU s adaptérem ALU 230L</t>
  </si>
  <si>
    <t>Středová úchytová lišta C3 s adaptérem nerez</t>
  </si>
  <si>
    <t>Středová úchytová lišta s adaptérem nerez</t>
  </si>
  <si>
    <t>Środ. list. uchw. C3 z adapt. stal nier.</t>
  </si>
  <si>
    <t>od 05/2015 je k dispozici pouze bíla barva zátky</t>
  </si>
  <si>
    <t>Včetně šroubu pro montáž</t>
  </si>
  <si>
    <t>Üköző 20mm véhzáró lécre ALU Kombi</t>
  </si>
  <si>
    <t>ANO/NE</t>
  </si>
  <si>
    <t>Důvod</t>
  </si>
  <si>
    <t>ANO</t>
  </si>
  <si>
    <t>NE</t>
  </si>
  <si>
    <t>E</t>
  </si>
  <si>
    <t>A</t>
  </si>
  <si>
    <t>B</t>
  </si>
  <si>
    <t>C</t>
  </si>
  <si>
    <t>X</t>
  </si>
  <si>
    <t>Y</t>
  </si>
  <si>
    <t>Z</t>
  </si>
  <si>
    <t>H</t>
  </si>
  <si>
    <t>OK</t>
  </si>
  <si>
    <t>REALITA</t>
  </si>
  <si>
    <t>Kluzný koílík k profilu</t>
  </si>
  <si>
    <t>Kryt koncové lišty</t>
  </si>
  <si>
    <t>Kluzný kolík</t>
  </si>
  <si>
    <t>Středová úchytová lišta</t>
  </si>
  <si>
    <t>Zarážka pro koncovou lištu</t>
  </si>
  <si>
    <t>Kryt krycí lišty</t>
  </si>
  <si>
    <t>vodící lišta 2</t>
  </si>
  <si>
    <t>lryt vodící lišty</t>
  </si>
  <si>
    <t>Koncovka</t>
  </si>
  <si>
    <t>Vodící oblouk / mechanika / šnek</t>
  </si>
  <si>
    <t>Lepící páska</t>
  </si>
  <si>
    <t>poplatek</t>
  </si>
  <si>
    <t>Felár a redőny méretre készítéséért</t>
  </si>
  <si>
    <t>ROZMERY</t>
  </si>
  <si>
    <t>hloubka</t>
  </si>
  <si>
    <t>Typy roletových profilů</t>
  </si>
  <si>
    <t>Metallic line 20</t>
  </si>
  <si>
    <t>Metallic line 25</t>
  </si>
  <si>
    <t>profily v různých barevných kombinacích</t>
  </si>
  <si>
    <t xml:space="preserve">kovový vzhled </t>
  </si>
  <si>
    <t>barevné provedení Hliník nebo Nerez</t>
  </si>
  <si>
    <t>lamela je uzavřena i zevnitř</t>
  </si>
  <si>
    <t>lamela je zevnitř otevřená</t>
  </si>
  <si>
    <t>plastové provedení</t>
  </si>
  <si>
    <t>skladem design v zářivě bílé barvě</t>
  </si>
  <si>
    <t>elegantí design</t>
  </si>
  <si>
    <t>jen barva Hliník plast</t>
  </si>
  <si>
    <t>vhodné pro vysoké horizontální posuvy</t>
  </si>
  <si>
    <t>Classic</t>
  </si>
  <si>
    <t>TOP Basic</t>
  </si>
  <si>
    <t>Classic (v kombinaci s plastovým vedením)</t>
  </si>
  <si>
    <t>Zářivě bílá mat (E9)</t>
  </si>
  <si>
    <t>Priorita</t>
  </si>
  <si>
    <t>Systém navíjení na mechaniku C3 není možné kombinovat s vedením TOP BASIC bez vlastní úpravy vodícího profilu (viz list Návod). Další variantou je volba vedení TOP.</t>
  </si>
  <si>
    <t>!!!</t>
  </si>
  <si>
    <t>Čierna (E23)</t>
  </si>
  <si>
    <t>Biela (E23)</t>
  </si>
  <si>
    <t>Čerešňa (E23)</t>
  </si>
  <si>
    <t>Breza (E23)</t>
  </si>
  <si>
    <t>Čerešňa havana (E23)</t>
  </si>
  <si>
    <t>Czarny (E23)</t>
  </si>
  <si>
    <t>Biały (E23)</t>
  </si>
  <si>
    <t>Szary (E23)</t>
  </si>
  <si>
    <t>Aluminowa plastik (E23)</t>
  </si>
  <si>
    <t>Czereśnia (E23)</t>
  </si>
  <si>
    <t>Klon (E23)</t>
  </si>
  <si>
    <t>Brzoza (E23)</t>
  </si>
  <si>
    <t>Czereśnia havana (E23)</t>
  </si>
  <si>
    <t>Fekete (E23)</t>
  </si>
  <si>
    <t>Fehér (E23)</t>
  </si>
  <si>
    <t>Szürke (E23)</t>
  </si>
  <si>
    <t>Alumínium-műanyag (E23)</t>
  </si>
  <si>
    <t>Bükk (E23)</t>
  </si>
  <si>
    <t>Cseresznye (E23)</t>
  </si>
  <si>
    <t>Jávor (E23)</t>
  </si>
  <si>
    <t>Nyír (E23)</t>
  </si>
  <si>
    <t>Cseresznye havana (E23)</t>
  </si>
  <si>
    <t>Maximální doporučená výška u Horizontálního posuvu v kombinaci s profilem E4 je 1900mm.</t>
  </si>
  <si>
    <t>Barevné provedení BUK v profilu E23 již nelze kombinovat s vedením FRAME.</t>
  </si>
  <si>
    <t>Nelze kombinovat systém vedení TOP BASIC s roletovým profilem Metallic line. Nutno zvolit vedení TOP.</t>
  </si>
  <si>
    <t>U vedení dozadu a do šneku nelze použít vedení Naložený systém vedení 29mm a mech C3. Nutno zvolit verzi FRAME.</t>
  </si>
  <si>
    <t>Systém vedení Naložený s metallic-line vedením 29mm a mech. C3  doporučujeme kombinovat jen s profilem Metallic Line.</t>
  </si>
  <si>
    <t>Systém vedení Naložený s metallic-line vedením 29mm a mech. C3  je možné kombinovat jen se systémem navíjení na mechaniku C3.</t>
  </si>
  <si>
    <t>Plastová zarážka C3 pre koncovú lištu</t>
  </si>
  <si>
    <t>LISZTWANOVA</t>
  </si>
  <si>
    <t>Ślimak 8 mm, nawin 1590 mm, kolor szary</t>
  </si>
  <si>
    <t>Vodiaci slimák 8 mm, kapacita 1590mm šedá</t>
  </si>
  <si>
    <t>PAZDZIOR</t>
  </si>
  <si>
    <t>Roletowy profil E9 jedwabiście biały</t>
  </si>
  <si>
    <t>Profil maskujący Top jedwabiście biały</t>
  </si>
  <si>
    <t>Listwa końcowa jedwabiście biała</t>
  </si>
  <si>
    <t>Środkowa listwa uchwytowa jedwabiście biała</t>
  </si>
  <si>
    <t>Listwa maskująca uni jedwabiście biała</t>
  </si>
  <si>
    <t>Ślizgacz 8 mm biały RAL 9010 do listwy końcowej E9</t>
  </si>
  <si>
    <t>Barevné provedení Zářivě bílá v profilu E9 je možné kombinovat jen s vedením Classic a TOP.</t>
  </si>
  <si>
    <t>Systém navíjení na mechaniku C3 není možné kombinovat s vedením Classic, doporučujeme zvolit jiný systém navíjení.</t>
  </si>
  <si>
    <t>U Horizontálního vedení není možné použít mechaniku C3.</t>
  </si>
  <si>
    <t>Barevné provedení Hliník plast v profilu E4 je vhodné na Horizontální vedení v kombinaci s vedením Classic s navíjením dozadu.</t>
  </si>
  <si>
    <t>Systém vedení TOP BASIC není přizpůsoben pro kombinaci s vedením do šneku. Doporučujeme zvolit verzi vedení TOP.</t>
  </si>
  <si>
    <t>TOP Basic - vložený na skrutkovanie plastový</t>
  </si>
  <si>
    <t>Classic - vložený na zafrézovanie</t>
  </si>
  <si>
    <t xml:space="preserve">Frame - naložený s krycou lištou </t>
  </si>
  <si>
    <t>TOP - vložený na skrutkovanie kovový s krycou lištou</t>
  </si>
  <si>
    <t>Typy roletových profilov</t>
  </si>
  <si>
    <t>Farebné prevedenie  žiarivo biela v profile E9 je možné kombinovať len s vedením Classic a TOP.</t>
  </si>
  <si>
    <t>Farebné prevedenie hliník plast v profile E4 je vhodné na horizontálne vedenie v kombinácii s vedením Classic s navíjaním dozadu.</t>
  </si>
  <si>
    <t>Nie je možné kombinovať systém vedenia TOP BASIC s roletovým profilom Metallic line. Nutné zvoliť vedenie TOP.</t>
  </si>
  <si>
    <t>Farebné prevedenie BUK v profile E23 už nie je  možné kombinovať s vedením FRAME.</t>
  </si>
  <si>
    <t>Systém vedenia naložený s metallic-line vedením 29mm a mech. C3  je možné kombinovať len so systémom navíjania na mechaniku C3.</t>
  </si>
  <si>
    <t>Systém vedenia TOP BASIC nie je prispôsobený pre kombináciu s vedením do slimáka. Doporučujeme zvoliť verziu vedenia TOP.</t>
  </si>
  <si>
    <t>Systém navíjania na mechaniku C3 nie je možné kombinovať s vedením TOP BASIC bez vlastnej úpravy vodiaceho profilu (viď. list Návod). Ďalšou variantou je voľba vedenia TOP.</t>
  </si>
  <si>
    <t>Systém navíjania na mechaniku C3 nie je možné kombinovať s vedením Classic, doporučujeme zvoliť iný systém navíjania.</t>
  </si>
  <si>
    <t>Systém vedenia naložený s metallic-line vedením 29mm a mech. C3  doporučujeme kombinovať len s profilom Metallic Line.</t>
  </si>
  <si>
    <t>Pri variante vedenia dozadu a do slimáka sa nedá použiť naložený systém vedenia 29mm a mech C3. Nutné zvoliť verziu FRAME.</t>
  </si>
  <si>
    <t>U Horizontálneho vedenia nie je možné použiť mechaniku C3.</t>
  </si>
  <si>
    <t>Maximálna doporučená výška u horizontálneho posuvu v kombinácii s profilom E4 je 1900mm.</t>
  </si>
  <si>
    <t>FRAME Šnek</t>
  </si>
  <si>
    <t>TOOP ŠNEk</t>
  </si>
  <si>
    <t>TOP Basic - wpuszczany do przykręcenia plastikowy</t>
  </si>
  <si>
    <t>TOP basic-közézáródó vezetés csavarozásra műanyag</t>
  </si>
  <si>
    <t>Classic - wpuszczany do zafrezowania</t>
  </si>
  <si>
    <t>Classic - közézáródó vezetés bemarásra</t>
  </si>
  <si>
    <t>Nakładany z prowadzeniem metalic-line 29 mm i mechanimem C3</t>
  </si>
  <si>
    <t>Ráütődő metallic-line vezetéssel 29mm és C3 mech.</t>
  </si>
  <si>
    <t>Frame - nakładany z listwą maskującą</t>
  </si>
  <si>
    <t xml:space="preserve">Frame - ráütődő takaró léces vezetéssel </t>
  </si>
  <si>
    <t>TOP - wpuszczany do przykręcenia metalowy z listwą maskującą</t>
  </si>
  <si>
    <t>TOP - közzézáródó vezetés csavarozásra fém takaró léccel</t>
  </si>
  <si>
    <t xml:space="preserve">Rodzaje profili roletowych </t>
  </si>
  <si>
    <t>Redőny profil tipusok</t>
  </si>
  <si>
    <t>Az E9 profilnál a világos fehér kombinálható csak a Classic és a Top vezetésnél.</t>
  </si>
  <si>
    <t>Koloru BUK w profilu E23 nie da się łączyć z prowadzeniem FRAME.</t>
  </si>
  <si>
    <t>A Bükk színes elkészítése az E23 profilnál, nem kombinálható a FRAME vezetéssel</t>
  </si>
  <si>
    <t>Nakładany system prowadzenia z metalic-line 29 mm i mechanizmem C3 można łączyć jedynie z systemem nawijania przez mechanike C3</t>
  </si>
  <si>
    <t xml:space="preserve"> Ráütődő metallic-line vezetéssel 29mm és C3 mech.,kombinálható csak tekercseléses vezetéssel a C3 mechanikára.</t>
  </si>
  <si>
    <t>Systemu TOP BASIC nie da się zastosować z ślimakiem roletowym. Zalecamy wybrać wersję TOP.</t>
  </si>
  <si>
    <t xml:space="preserve"> TOP BASIC vezetésü rendszer nem kombinálható a csiga vezetéssel.Javasoljuk a TOP vezetésű verzió kiválasztását.</t>
  </si>
  <si>
    <t>Systemu nawijania na mechanizm C3 nie można łączyć z prowadzeniem TOP BASIC bez samodzielnego dostosowywania profilu prowadzącego (zob. instrukcja). Kolejnym rozwiązaniem jest wybór prowadzenia TOP.</t>
  </si>
  <si>
    <t>Tekercselési rendszer a C3 mechanikára,nem lehet kombinálni a TOP BASIC vezetéssel,a vezetési profil testreszabása nélkül (lásd a használati utasítást).Egy másik lehetőség a TOP vezetés választása.</t>
  </si>
  <si>
    <t>Systemu nawijania na mechanizm C3 nie można łączyć z prowadzeniem Classic, zalecamy wybrać inny system nawijania.</t>
  </si>
  <si>
    <t>Tekercselési rendszer a C3 mechanikára,nem lehet kombinálni a Classic vezetéssel,javasolunk hogy válasszon egy másik tekercselési rendszert.</t>
  </si>
  <si>
    <t>Nakładany system prowadzenia z metalic-line 29 mm i mechanizmem C3 zalecamy łaczyć tylko z profilem Metallic Line.</t>
  </si>
  <si>
    <t>A ráütődő vezetésü rendszer metallic-line  29mm és  C3 mech.-át,  javasoljuk a Metallic Line profillal kombinálni.</t>
  </si>
  <si>
    <t>Systemu prowadzenia TOP BASIC nie da się zastosować z roletowym profilem Metallic line. Należy wybrać wersję TOP.</t>
  </si>
  <si>
    <t>Nem lehet kombinálni a TOP BASIC vezetésű rendszert a redőny profillal Metallic line.Szükséges választani TOP vezetésüt.</t>
  </si>
  <si>
    <t>U systemu nawijania do tyłu i do ślimaka roletowego nie da się zastosować nakładanego systemu prowadzenia 29 mm i mechanizmu C3. Należy wybrać wersję FRAME.</t>
  </si>
  <si>
    <t>A vezetésnél, hátra és a csigába ,nem lehet használni ráütődő rendszert 29mm és a C3 mech.Szükséges választani FRAME verziót.</t>
  </si>
  <si>
    <t>Mechanizmu C3 nie da się zastosować przy poziomym ruchu żaluzji.</t>
  </si>
  <si>
    <t>A vízszintes vezetésnél nem használható C3 mechanika.</t>
  </si>
  <si>
    <t xml:space="preserve">Maksymalna zalecana wysokość przy poziomym ruchu żaluzji w połączeniu z profilem E4 to 1900mm. </t>
  </si>
  <si>
    <t>A vízszintes mozgásnál  maximális ajánlott magasság az E4 profillal kombinálva 1900 mm.</t>
  </si>
  <si>
    <t>Kolor aluminium plastik w profilu E4 jest idealny do poziomych rozwiązań w kombinacji z prowadzeniem Classic z systemem nawijania do tyłu</t>
  </si>
  <si>
    <t xml:space="preserve"> E4 profil az alumínium műanyag színes elkészítése, alkalmas a vízszintes vezetésre,kombinálva a Classic vezetéssel,hátra tekercseléssel</t>
  </si>
  <si>
    <t>Aluminowa plastik (E4)</t>
  </si>
  <si>
    <t>Alumínium-műanyag (E4)</t>
  </si>
  <si>
    <t>Žiarivo biela mat (E9)</t>
  </si>
  <si>
    <t>Hófehér Matt (E9)</t>
  </si>
  <si>
    <t>Barevné provedení CALVADOS v profilu E23 již nelze kombinovat s vedením FRAME.</t>
  </si>
  <si>
    <t>Farebné prevedenie CALVADOS v profile E23 už nie je  možné kombinovať s vedením FRAME.</t>
  </si>
  <si>
    <t>Koloru CALVADOS w profilu E23 nie da się łączyć z prowadzeniem FRAME.</t>
  </si>
  <si>
    <t>A Calvados színes elkészítése az E23 profilnál, nem kombinálható a FRAME vezetéssel</t>
  </si>
  <si>
    <t>Barevné provedení Třešeň havana v profilu E23 již nelze kombinovat s vedením FRAME.</t>
  </si>
  <si>
    <t>Farebné prevedenie Čerešňa havana v profile E23 už nie je  možné kombinovať s vedením FRAME.</t>
  </si>
  <si>
    <t>Koloru Czereśnia havana w profilu E23 nie da się łączyć z prowadzeniem FRAME.</t>
  </si>
  <si>
    <t>A Cseresznye havana színes elkészítése az E23 profilnál, nem kombinálható a FRAME vezetéssel</t>
  </si>
  <si>
    <t>Chyby na rozměry</t>
  </si>
  <si>
    <t>vnitřní rozměry</t>
  </si>
  <si>
    <t>belső méreteit</t>
  </si>
  <si>
    <t>vnútorný rozmer</t>
  </si>
  <si>
    <t>rozmiary wewnętrzne</t>
  </si>
  <si>
    <t>Pro výšku skříňky nad 800mm (vnitřní rozměr) je doporučeno použít mechaniku C3 (nutno zvážit i kombinaci výšky a šířky).</t>
  </si>
  <si>
    <t>Roletu s vertikálním vedením a do skříňky širší než 1164mm (vnitřní rozměry) nedoporučujeme používat. Řešením je rozdělit roletu nebo použít horizontální posuv.</t>
  </si>
  <si>
    <t>U horizontálního posuvu v kombinací s roletami typu E23, E9 nebo Metallic line je maximální doporučená výška 1150mm (vnitřní rozměry). Pro vyšší verzi je nutno vybrat profil E4 v kombinaci se systémem vedení Classic.</t>
  </si>
  <si>
    <t>Pre výšku skrinky nad 800mm (vnútorný rozmer) je doporučené použiť mechaniku C3 (nutné zvážiť aj kombináciu výšky a šírky).</t>
  </si>
  <si>
    <t>Roletu s vertikálnym vedením a do skrinky širšej než 1164mm (vnútorný rozmer) nedoporučujeme používať. Riešením je rozdeliť roletu alebo použiť horizontálny posuv.</t>
  </si>
  <si>
    <t>U horizontálneho posuvu v kombinácii s roletami typu E23, E9 alebo Metallic line je maximálna doporučená výška 1150mm (vnútorný rozmer). Pre vyššiu verziu je nutné vybrať profil E4 v kombinácii so systémom vedenia Classic.</t>
  </si>
  <si>
    <t>Do szafki nad 800mm (rozmiary wewnętrzne) zalecamy zastosowć mechanizm C3 (należy wziąć pod uwagę kombinację wysokości i szerokości).</t>
  </si>
  <si>
    <t>Nie zaleca się stosowania żaluzji z prowadzeniem pionowym do szafki o szerokości większej niż 1164 mm (rozmiary wewnętrzne). Rozwiązaniem jest podzielenie żaluzji lub zmiana kierunku ruchu żaluzji na poziomy.</t>
  </si>
  <si>
    <t>Przy poziomym ruchu żaluzji w kombinacji z roletami typu E23, E9 lub Metallic line maksymalna zalecana wysokość to 1150 mm (rozmiary wewnętrzne). Aby uzyskać wyższą wersję, musisz wybrać profil W4 w kombinacji z systemem Classic.</t>
  </si>
  <si>
    <t xml:space="preserve"> A szekrény magassága 800mm (belső méreteit) felett javasolt a C3 mechanika(a magasság és szélesség kombinációját is figyelembe kell venni).</t>
  </si>
  <si>
    <t xml:space="preserve"> 1164 mm (belső méreteit)-nél szélesebb szekrénybe nem ajánlott a függőleges vezetésü redőny . Megoldás ,a redőny felosztása vagy  horizontális mozgás.</t>
  </si>
  <si>
    <t>Vízszintes mozgás  esetén a redőny tipus E23, E9 vagy Metallic line esetén a javasolt maximális magasság 1150 mm (belső méreteit). Egy magasabb verzióhoz választani a E4 profilt kombinálva a Classic vezetéssel együtt.</t>
  </si>
  <si>
    <t>U Vertikálního posuvu s mechanikou C3 jsou doporučné rozměry korpusu: šířka 364-1164mm a výška 614-2164mm (vnitřní rozměry)</t>
  </si>
  <si>
    <t>(úpravu údajů můžete provést na listě úvod)</t>
  </si>
  <si>
    <t>wykończenie kolorystyczne aluminium lub stal nierdzewna</t>
  </si>
  <si>
    <t>Szín alumínium vagy nemesacél</t>
  </si>
  <si>
    <t>Classic (w kombinacji z plastikową prowadnicą)</t>
  </si>
  <si>
    <t>Classic (kombinálva műanyag vezetéssel)</t>
  </si>
  <si>
    <t>elegancki wygląd</t>
  </si>
  <si>
    <t>elegáns design</t>
  </si>
  <si>
    <t>jedynie kolor aluminium plastik</t>
  </si>
  <si>
    <t xml:space="preserve">Szín csak  Alumínium műanyag </t>
  </si>
  <si>
    <t>wygląd metaliczny</t>
  </si>
  <si>
    <t>fémes megjelenés</t>
  </si>
  <si>
    <t>szczebelek profilu żaluzjowego jest zamkniety od wewnątrz</t>
  </si>
  <si>
    <t>A lamella belülről is le van zárva</t>
  </si>
  <si>
    <t>szczebelek profilu żaluzjowego jest od wewnątrz otwarty</t>
  </si>
  <si>
    <t>A lamella belülről nyitva van</t>
  </si>
  <si>
    <t>plastikowe wykończenie</t>
  </si>
  <si>
    <t xml:space="preserve">műanyag </t>
  </si>
  <si>
    <t>profile w różnych kombinacjach kolorystycznych</t>
  </si>
  <si>
    <t>A profil különböző színkombinációkban</t>
  </si>
  <si>
    <t>na magazynie design w kolorze śnieżno białym</t>
  </si>
  <si>
    <t>raktáron design fényes fehér színben</t>
  </si>
  <si>
    <t xml:space="preserve">odpowiednie do wysokich prowadzeń poziomych </t>
  </si>
  <si>
    <t>alkalmas, magas vízszintes mozgáshoz</t>
  </si>
  <si>
    <t>Farebné prevedenie Hliník alebo Nerez</t>
  </si>
  <si>
    <t>Classic (v kombinácii s plastovým vedením)</t>
  </si>
  <si>
    <t>elegantný design</t>
  </si>
  <si>
    <t>len farba hliník plast</t>
  </si>
  <si>
    <t>kovový vzhľad</t>
  </si>
  <si>
    <t>lamela je uzatvorená aj zvnútra</t>
  </si>
  <si>
    <t>lamela je zvnútra otvorená</t>
  </si>
  <si>
    <t>plastové prevedenie</t>
  </si>
  <si>
    <t>profily v rôznych farebných kombináciach</t>
  </si>
  <si>
    <t>skladom design v žiarivo bielej farbe</t>
  </si>
  <si>
    <t>vhodné pre vysoké horizontálne posuvy</t>
  </si>
  <si>
    <t>U vertikálneho posuvu s mechanikou C3 sú doporučené rozmery korpusu: šírka 364-1164mm a výška 614-2164mm (vnútorný rozmer).</t>
  </si>
  <si>
    <t>przy prowadzeniu pionowym z mechanizmem C3 zalecane wymiary korpusu to: szerokość 364-1164mm i wysokość  614-2164mm (rozmiary wewnętrzne)</t>
  </si>
  <si>
    <t>C3 mechanikával függőleges mozgás esetén, ajánlott korpusz méretek:szélesség 364-1164mm és magasság 614-2164mm (belső méreteit).</t>
  </si>
  <si>
    <t>śnieżno biala mat (E9)</t>
  </si>
  <si>
    <t>Kolor śnieżno biały w profilu E9 można łączyć jedynie z prowadzeniem Classic i systemem nawijania do tyłu</t>
  </si>
  <si>
    <t>nastaven R95842 27-9-2018</t>
  </si>
  <si>
    <t xml:space="preserve">Vodící a krycí lišta jsou u všech barevných kombinací krom nerezu s povrchem hliník  (metallic-line). Zbylé prvky jsou v barvě, která je vybrána (buk, bříza...). Pokud je vybrán jiný dekor než hliník nebo nerez, je nutné dno zapustit o 10mm oproti bokům, nebo předsadit o 18 mm. </t>
  </si>
  <si>
    <t xml:space="preserve">Vodiace krycie lišty sú u všetkých farebných kombinácií okrem nerezu s povrchom hliník  (metallic-line). Zvyšné prvky sú vo farbe, ktorá je vybraná (buk, breza...). Pokiaľ je vybraný iný dekor než hliník alebo nerez, je nutné dno zapustiť o 10mm oproti bokom, alebo predsadiť o 18 mm. </t>
  </si>
  <si>
    <t xml:space="preserve">Tor i osłona są dostępne we wszystkich kolorach oprócz nierdz. z aluminiową powierzchnią (metallic-line). Pozostałe elementy są w wybranym kolorze (buk, brzoza...). Jeśli jest wybrany inny kolor niż aluminium albo nierdz. dno należy wpuścić o 10 mm niżej od boków, albo wyciągnąć o 18 mm. </t>
  </si>
  <si>
    <t>A vezető és a takaró léc minden szín kombinációban meg vannak, kivéve a nemes acélt ALU  felülettel (metallic-line).  A többi összetevők a kiválasztott színben vannak (bükk, nyír...). Ha más dekor van kiválasztva mint ALU vagy nemes acél, ebben az esetben az alsó részt 10mm-rel kell besülyeszteni, mint az oldalakhoz képest, vagy előszerelni 18mm-rel.</t>
  </si>
  <si>
    <t>Naložený systém vedení (29mm). Jde o vedení  v barvě Hliníku nebo Nerez v profilu Metallic line a v kombinaci s mechanikou C3. Vodící lišty je potřeba před instalací upravit dle nákresu níže</t>
  </si>
  <si>
    <t>Při použití naloženého vedení 29mm pro Metallic line pro kombinaci s C3 mechanikou je potřeba upravit vodící lišty dle nákresu  v listu Návod</t>
  </si>
  <si>
    <t>Naložený systém vedenia (29mm). Ide o vedenie  vo farbe Hliník alebo Nerez v profile Metallic line a v kombinácii s mechanikou C3. Vodiace lišty je potrebné  pred  inštaláciou upraviť podľa nákresu nižšie</t>
  </si>
  <si>
    <t>Pri použití naloženého vedenia 29mm pre Metallic line pre kombináciu s C3 mechanikou je potrebné upraviť vodiace lišty podľa nákresu  v liste Návod</t>
  </si>
  <si>
    <t>Nakładany system prowadzenia (29 mm). Chodzi o prowadzenie w kolorze aluminium lub stali nierdzewnej w profilu Metallic line i w kombinacji z mechanizmem C3. 
Prowadnice należy przed montażem przygotować zgodnie z rysunkiem poniżej.</t>
  </si>
  <si>
    <t>Ráütődő vezetésű  (29mm). Aluminium  és nemesacél színben,Metallic line profilban C3 mechanikával kombinálva.A beszerelés előtt szükséges a vezető léct beállítani az alábbi rajz szerint.</t>
  </si>
  <si>
    <t>Przy zastosowaniu nakładanego prowadzenia 29 mm do Metallic line w kombinacji z mechanizmem C3, prowadnice należy przygotować zgodnie z rysunkiem w zakładce Instrukcja</t>
  </si>
  <si>
    <t>A ráütődő vezetés 29mm Metallic line C3 kombinációval , szükséges a vezető léc beállítása az alábbi rajz szerint.</t>
  </si>
  <si>
    <t>Roletový profil E4 černý</t>
  </si>
  <si>
    <t>Redőnyprofil E4 fekete</t>
  </si>
  <si>
    <t>Roletový profil E4 šedý</t>
  </si>
  <si>
    <t>Roletový profil E4 sivá</t>
  </si>
  <si>
    <t>Redőnyprofil E4 szürke</t>
  </si>
  <si>
    <t>Redőnyprofil E4 alumínium (műanyag)</t>
  </si>
  <si>
    <t>Redőnyprofil E4 bükk</t>
  </si>
  <si>
    <t>Profilový kluzný kolík E4 bílý</t>
  </si>
  <si>
    <t>Csúszka profilhoz E4 fehér</t>
  </si>
  <si>
    <t>Roletový profil E23 černý</t>
  </si>
  <si>
    <t>Redőnyprofil E23 fekete</t>
  </si>
  <si>
    <t>Roletový profil E23 bílý</t>
  </si>
  <si>
    <t>Redőnyprofil E23 fehér</t>
  </si>
  <si>
    <t>Roletový profil E23 šedý</t>
  </si>
  <si>
    <t>Roletový profil E23 sivá</t>
  </si>
  <si>
    <t>Redőnyprofil E23 szürke</t>
  </si>
  <si>
    <t>Redőnyprofil E23 alumínium (műanyag)</t>
  </si>
  <si>
    <t>Redőnyprofil E23 bükk</t>
  </si>
  <si>
    <t>Redőnyprofil E23 jávor</t>
  </si>
  <si>
    <t>Redőnyprofil E23 cseresznyefa</t>
  </si>
  <si>
    <t>Redőnyprofil E23 nyír</t>
  </si>
  <si>
    <t>Roletový profil E23 třešeň Havana</t>
  </si>
  <si>
    <t>Redőnyprofil E23 cseresznyefa Havanna</t>
  </si>
  <si>
    <t>Redőnyprofil E23 calvados</t>
  </si>
  <si>
    <t>Roletový profil MetAL line 20 mm Alu 230L</t>
  </si>
  <si>
    <t>Rolet. prof. MetAL line 20mm ALU 230L</t>
  </si>
  <si>
    <t>Redőnyprofil Metal-line 20 mm Alu 230L</t>
  </si>
  <si>
    <t>Roletový profil MetAL line 20 mm nerez 360L</t>
  </si>
  <si>
    <t>Rolet. prof. MetAL line 20mm nerez 360L</t>
  </si>
  <si>
    <t>Redőnyprofil Metal-line 20 mm nemesacél 360L</t>
  </si>
  <si>
    <t>Kluzný kolík Metallic-line 20 mm černý</t>
  </si>
  <si>
    <t>Csúszka Metallic-line 20 mm fekete</t>
  </si>
  <si>
    <t>Roletový profil MetAL line 25 mm hliník 230L</t>
  </si>
  <si>
    <t>Rolet. prof. MetAL line 25mm hliník 230L</t>
  </si>
  <si>
    <t>Redőnyprofil Metal-line 25 mm alumínium 230L</t>
  </si>
  <si>
    <t>Roletový profil MetAL line 25 mm nerez 360L</t>
  </si>
  <si>
    <t>Rolet. prof. MetAL line 25mm nerez 360L</t>
  </si>
  <si>
    <t>Redőnyprofil Metal-line 25 mm nemesacél 360L</t>
  </si>
  <si>
    <t>Kluzný kolík Metallic-line 25 mm černý</t>
  </si>
  <si>
    <t>Csúszka Metallic-line 25 mm fekete</t>
  </si>
  <si>
    <t>Vezető profil 8 mm bemarásra fekete</t>
  </si>
  <si>
    <t>Vezető profil 8 mm bemarásra fehér</t>
  </si>
  <si>
    <t>vodiaca lišta 8 mm na zafrézovanie sivá</t>
  </si>
  <si>
    <t>Vezető profil 8 mm bemarásra szürke</t>
  </si>
  <si>
    <t>Vodicí lišta 8 mm na zafrézování světle hnědý buk</t>
  </si>
  <si>
    <t>Vezető profil 8 mm bemarásra világosbarna bükk</t>
  </si>
  <si>
    <t>Flexibilní vodicí lišta Flex 8 mm černá</t>
  </si>
  <si>
    <t>flexibilná vodiaca lišta FLEX 8mm čiern</t>
  </si>
  <si>
    <t>Rugalmas vezető profil Flex 8 mm fekete</t>
  </si>
  <si>
    <t>Flexibilní vodicí lišta Flex 8 mm šedá</t>
  </si>
  <si>
    <t>flexibilná vodiaca lišta FLEX 8 mm sivá</t>
  </si>
  <si>
    <t>Rugalmas vezető profil Flex 8 mm szürke</t>
  </si>
  <si>
    <t>Vezető profil 12 mm bemarásra fekete</t>
  </si>
  <si>
    <t>vodiaca lišta 12 mm na zafrézovanie sivá</t>
  </si>
  <si>
    <t>Vezető profil 12 mm bemarásra szürke</t>
  </si>
  <si>
    <t>Středový doraz 8 mm černý</t>
  </si>
  <si>
    <t>Közép ütköző 8 mm fekete</t>
  </si>
  <si>
    <t>Středový doraz 8 mm bílý</t>
  </si>
  <si>
    <t>Közép ütköző 8 mm fehér</t>
  </si>
  <si>
    <t>Středový doraz 8 mm šedý</t>
  </si>
  <si>
    <t>stredový doraz 8 mm sivá</t>
  </si>
  <si>
    <t>Közép ütköző 8 mm szürke</t>
  </si>
  <si>
    <t>Středový doraz 8 mm světle hnědý (buk)</t>
  </si>
  <si>
    <t>Közép ütköző 8 mm világosbarna (bükk)</t>
  </si>
  <si>
    <t>Středový doraz 12 mm černý</t>
  </si>
  <si>
    <t>Közép ütköző 12 mm fekete</t>
  </si>
  <si>
    <t>Středový doraz 12 mm šedý</t>
  </si>
  <si>
    <t>stredový doraz 12 mm sivá</t>
  </si>
  <si>
    <t>Közép ütköző 12 mm szürke</t>
  </si>
  <si>
    <t>Vodicí oblouk 90 ° 8 mm černý</t>
  </si>
  <si>
    <t>vodiaci oblúk 90 ° - 8 mm čierna</t>
  </si>
  <si>
    <t>Vezető profilsarok 90 ° 8 mm fekete</t>
  </si>
  <si>
    <t>Vodicí oblouk 90 ° 8 mm bílý</t>
  </si>
  <si>
    <t>vodiaci oblúk 90 ° - 8 mm biela</t>
  </si>
  <si>
    <t>Vezető profilsarok 90 ° 8 mm fehér</t>
  </si>
  <si>
    <t>Vodicí oblouk 90 ° 8 mm šedý</t>
  </si>
  <si>
    <t>vodiaci oblúk 90 ° - 8 mm sivá</t>
  </si>
  <si>
    <t>Vezető profilsarok 90 ° 8 mm szürke</t>
  </si>
  <si>
    <t>Vodicí oblouk 90 ° 8 mm světle hnědý (buk)</t>
  </si>
  <si>
    <t>Vezető profilsarok 90 ° 8 mm világosbarna (bükk)</t>
  </si>
  <si>
    <t>Vodicí oblouk 90 ° - 12 mm černý</t>
  </si>
  <si>
    <t>vodiaci oblúk 90 ° - 12 mm čierna</t>
  </si>
  <si>
    <t>Vezető profilsarok 90 ° - 12 mm fekete</t>
  </si>
  <si>
    <t>Vodicí oblouk 90 ° - 12 mm šedý</t>
  </si>
  <si>
    <t>vodiaci oblúk 90 ° - 12 mm sivá</t>
  </si>
  <si>
    <t>Vezető profilsarok 90 ° - 12 mm szürke</t>
  </si>
  <si>
    <t>Vodicí šnek 8 mm, kapacita 670 mm černý</t>
  </si>
  <si>
    <t>Vezető csiga 8 mm, kapacitás 670 mm fekete</t>
  </si>
  <si>
    <t>Vodicí šnek 8 mm, kapacita 1280 mm černý</t>
  </si>
  <si>
    <t>Vezető csiga 8 mm, kapacitás 1280 mm fekete</t>
  </si>
  <si>
    <t>Vodicí šnek 8 mm, kapacita 1280 mm šedý</t>
  </si>
  <si>
    <t>Vezető csiga 8 mm, kapacitás 1280 mm szürke</t>
  </si>
  <si>
    <t>Vodicí šnek 8 mm, kapacita 1590 mm černý</t>
  </si>
  <si>
    <t>vodiaci slimák 8 mm, kapacita 1590mm či</t>
  </si>
  <si>
    <t>Vezető csiga 8 mm, kapacitás 1590 mm fekete</t>
  </si>
  <si>
    <t>Vodicí šnek 12 mm, kapacita 670 mm černý</t>
  </si>
  <si>
    <t>vodiaci slimák 12 mm, kapacita 670mm či</t>
  </si>
  <si>
    <t>Vezető csiga 12 mm, kapacitás 670 mm fekete</t>
  </si>
  <si>
    <t>Vodicí šnek 12 mm, kapacita 1280 mm černý</t>
  </si>
  <si>
    <t>vodiaci slimák 12 mm, kapac. 1280mm čie</t>
  </si>
  <si>
    <t>Vezető csiga 12 mm, kapacitás 1280 mm fekete</t>
  </si>
  <si>
    <t>Vodicí lišta Top spodní díl Alu 230L</t>
  </si>
  <si>
    <t>Vezető profil Top alsó rész alu 230L</t>
  </si>
  <si>
    <t>Krycí profil Top černý</t>
  </si>
  <si>
    <t>Krycí profil Top bílý</t>
  </si>
  <si>
    <t>Takaró profil Top fehér</t>
  </si>
  <si>
    <t>Krycí profil Top šedý</t>
  </si>
  <si>
    <t>Krycí profil Top sivá</t>
  </si>
  <si>
    <t>Takaró profil Top szürke</t>
  </si>
  <si>
    <t>Krycí profil Top hliník (plast)</t>
  </si>
  <si>
    <t>Takaró profil Top alumínium (műanyag)</t>
  </si>
  <si>
    <t>Takaró profil Top bükk</t>
  </si>
  <si>
    <t>Takaró profil Top jávor</t>
  </si>
  <si>
    <t>Takaró profil Top cseresznyefa</t>
  </si>
  <si>
    <t>Takaró profil Top nyír</t>
  </si>
  <si>
    <t>Krycí profil Top třešeň havana</t>
  </si>
  <si>
    <t>Takaró profil Top cseresznyefa havanna</t>
  </si>
  <si>
    <t>Krycí profil Top Alu 230L</t>
  </si>
  <si>
    <t>Takaró profil Top Alu 230L</t>
  </si>
  <si>
    <t>Vodicí lišta Frame spodní díl Alu 230L</t>
  </si>
  <si>
    <t>Vezető profil Frame alsó rész alu 230L</t>
  </si>
  <si>
    <t>Krycí profil Frame černý</t>
  </si>
  <si>
    <t>Takaró profil Frame fekete</t>
  </si>
  <si>
    <t>Krycí profil Frame bílý</t>
  </si>
  <si>
    <t>Krycí profil Frame šedý</t>
  </si>
  <si>
    <t>Krycí profil Frame sivá</t>
  </si>
  <si>
    <t>Takaró profil Frame szürke</t>
  </si>
  <si>
    <t>Takaró profil Frame alumínium (műanyag)</t>
  </si>
  <si>
    <t>Takaró profil Frame jávor</t>
  </si>
  <si>
    <t>Takaró profil Frame nyír</t>
  </si>
  <si>
    <t>Krycí profil Frame Alu 230L</t>
  </si>
  <si>
    <t>Takaró profil Frame Alu 230L</t>
  </si>
  <si>
    <t>Koncovky Frame černé</t>
  </si>
  <si>
    <t>Végzáró Frame fekete</t>
  </si>
  <si>
    <t>Koncovky Frame bílé</t>
  </si>
  <si>
    <t>Koncovky Frame světle šedé</t>
  </si>
  <si>
    <t>Koncovky Frame sv. sivá</t>
  </si>
  <si>
    <t>Végzáró Frame világosszürke</t>
  </si>
  <si>
    <t>Koncovky Frame tmavě šedé (hliník)</t>
  </si>
  <si>
    <t>Koncovky Frame tm. sivá (hliník)</t>
  </si>
  <si>
    <t>Végzáró Frame sötétszürke (alumínium)</t>
  </si>
  <si>
    <t>Koncovky Frame světle hnědé (buk)</t>
  </si>
  <si>
    <t>Koncovky Frame sv. hnedá (buk)</t>
  </si>
  <si>
    <t>Végzáró Frame világosbarna (bükk)</t>
  </si>
  <si>
    <t>Koncovky Frame béžové (javor)</t>
  </si>
  <si>
    <t>Koncovky Frame bežová (javor)</t>
  </si>
  <si>
    <t>Végzáró Frame bézs (jávor)</t>
  </si>
  <si>
    <t>Vodicí šnek Top/Frame, kapacita 1240 mm</t>
  </si>
  <si>
    <t>Vezető csiga Top/Frame, kapacitás 1240 mm</t>
  </si>
  <si>
    <t>Vodicí oblouk 90 ° Top/Frame</t>
  </si>
  <si>
    <t>vodiaci oblúk 90 ° Top/Frame</t>
  </si>
  <si>
    <t>Vezető profilsarok 90 ° Top/Frame</t>
  </si>
  <si>
    <t>Středový doraz Top černý</t>
  </si>
  <si>
    <t>Közép ütköző Top fekete</t>
  </si>
  <si>
    <t>Středový doraz Top bílý</t>
  </si>
  <si>
    <t>Közép ütköző Top fehér</t>
  </si>
  <si>
    <t>Středový doraz Top šedý</t>
  </si>
  <si>
    <t>stredový doraz Top sivá</t>
  </si>
  <si>
    <t>Közép ütköző Top szürke</t>
  </si>
  <si>
    <t>Středový doraz Top světle šedý (hliník)</t>
  </si>
  <si>
    <t>stredový doraz Top sv. sivá (hliník)</t>
  </si>
  <si>
    <t>Közép ütköző Top világosszürke (alumínium)</t>
  </si>
  <si>
    <t>Středový doraz Top světle hnědý (buk)</t>
  </si>
  <si>
    <t>Közép ütköző Top világosbarna (bükk)</t>
  </si>
  <si>
    <t>Středový doraz Top béžový (javor)</t>
  </si>
  <si>
    <t>Közép ütköző Top bézs (jávor)</t>
  </si>
  <si>
    <t>Středový doraz Top hnědý (třešeň)</t>
  </si>
  <si>
    <t>Közép ütköző Top barna (cseresznyefa)</t>
  </si>
  <si>
    <t>Vezető profil csavarozható fekete</t>
  </si>
  <si>
    <t>Vezető profil csavarozható fehér</t>
  </si>
  <si>
    <t>vodiaca lišta na skrztku sivá</t>
  </si>
  <si>
    <t>Vezető profil csavarozható szürke</t>
  </si>
  <si>
    <t>Vodicí lišta na šroub tmavě šedá (hliník)</t>
  </si>
  <si>
    <t>vodiaca lišta na skrut sv. sivá (hliník)</t>
  </si>
  <si>
    <t>Vezető profil csavarozható sötétszürke (alumínium)</t>
  </si>
  <si>
    <t>Vodicí lišta na šroub světle hnědá (buk)</t>
  </si>
  <si>
    <t>Vezető profil csavarozható világosbarna (bükk)</t>
  </si>
  <si>
    <t>Vezető profil csavarozható bézs (jávor)</t>
  </si>
  <si>
    <t>Vezető profil csavarozható barna (cseresznye)</t>
  </si>
  <si>
    <t>Vezető profil csavarozható bézs (nyír)</t>
  </si>
  <si>
    <t>Vezető profil csavarozható barna (Havanna)</t>
  </si>
  <si>
    <t>Vezető profil csavarozható barna (calvados)</t>
  </si>
  <si>
    <t>Roh vodící lišta na šroub černý</t>
  </si>
  <si>
    <t>Vezető profil sarok csavarozható fekete</t>
  </si>
  <si>
    <t>Roh vodící lišty na šroub bílý</t>
  </si>
  <si>
    <t>Sarok vezető profilhoz csavarra fehér</t>
  </si>
  <si>
    <t>Roh vodící lišta na šroub šedý</t>
  </si>
  <si>
    <t>Roh vodiacej liš. na šroub sivá</t>
  </si>
  <si>
    <t>Vezető profil sarok csavarozható szürke</t>
  </si>
  <si>
    <t>Roh vodící lišta na šroub tmavě šedý (hliník)</t>
  </si>
  <si>
    <t>Roh vodiacej liš. na šr. sv. sivá (hliní</t>
  </si>
  <si>
    <t>Vezető profil sarok csavarozható sötétszürke (alumínium)</t>
  </si>
  <si>
    <t>Roh vodící lišta na šroub světle hnědý (buk)</t>
  </si>
  <si>
    <t>Vezető profil sarok csavarozható világosbarna (bükk)</t>
  </si>
  <si>
    <t>Roh vodící lišta na šroub béžový (javor)</t>
  </si>
  <si>
    <t>Vezető profil sarok csavarozható bézs (jávor)</t>
  </si>
  <si>
    <t>Roh vodící lišta na šroub hnědý (třešeň)</t>
  </si>
  <si>
    <t>Vezető profil sarok csavarozható barna (cseresznye)</t>
  </si>
  <si>
    <t>Roh vodící lišta na šroub béžový (bříza)</t>
  </si>
  <si>
    <t>Vezető profil sarok csavarozható bézs (nyír)</t>
  </si>
  <si>
    <t>Roh vodící lišta na šroub hnědý (Havana)</t>
  </si>
  <si>
    <t>Vezető profil sarok csavarozható barna (Havanna)</t>
  </si>
  <si>
    <t>Roh vodící lišta na šroub hnědý (calvados)</t>
  </si>
  <si>
    <t>Vezető profil sarok csavarozható barna (calvados)</t>
  </si>
  <si>
    <t>Vodící lišta 29 mm MetAL line Alu 230L</t>
  </si>
  <si>
    <t>vodiaca lišta 29mm MetAL line ALU 230L</t>
  </si>
  <si>
    <t>Vezető profil 29 mm Metal-line alu 230L</t>
  </si>
  <si>
    <t>Vodící lišta 29 mm MetAL line nerez 360L</t>
  </si>
  <si>
    <t>vodiaca lišta 29mm MetAL line nerez 360</t>
  </si>
  <si>
    <t>Vezető profil 29 mm Metal-line nemesacél 360L</t>
  </si>
  <si>
    <t>Vodicí lišta 15,5 mm vertikální Alu 230L</t>
  </si>
  <si>
    <t>Vezető profil 15,5 mm függőleges alu 230L</t>
  </si>
  <si>
    <t>Kluzný kolík 8 mm s brzdou černý</t>
  </si>
  <si>
    <t>Csúszka 8 mm fékkel fekete</t>
  </si>
  <si>
    <t>Kluzný kolík 8 mm s brzdou šedý</t>
  </si>
  <si>
    <t>klzný kolík 8 mm s brzdou sivá</t>
  </si>
  <si>
    <t>Csúszka 8 mm fékkel szürke</t>
  </si>
  <si>
    <t>Kluzný kolík 8 mm s brzdou světle hnědý (buk)</t>
  </si>
  <si>
    <t>Csúszka 8 mm fékkel világosbarna (bükk)</t>
  </si>
  <si>
    <t>C6-os felcsévélő mechanika</t>
  </si>
  <si>
    <t>C3-as kiegyenlítő mechanika - 400 mm</t>
  </si>
  <si>
    <t>C3-as kiegyenlítő mechanika - 600 mm</t>
  </si>
  <si>
    <t>C3-as kiegyenlítő mechanika - 800 mm</t>
  </si>
  <si>
    <t>C3-as kiegyenlítő mechanika - 1000 mm</t>
  </si>
  <si>
    <t>C3-as kiegyenlítő mechanika - 1200 mm</t>
  </si>
  <si>
    <t>Přechodka mezi Frame a mechanikou C3 černá</t>
  </si>
  <si>
    <t>Átmenet Frame és C3-as mechanika között fekete</t>
  </si>
  <si>
    <t>Hosszabbító adapter C3 mechanikához</t>
  </si>
  <si>
    <t>Végzáró profil fekete</t>
  </si>
  <si>
    <t>Végzáró profil fehér</t>
  </si>
  <si>
    <t>Koncová lišta sivá</t>
  </si>
  <si>
    <t>Végzáró profil szürke</t>
  </si>
  <si>
    <t>Végzáró profil alumínium (műanyag)</t>
  </si>
  <si>
    <t>Végzáró profil bükk</t>
  </si>
  <si>
    <t>Végzáró profil jávor</t>
  </si>
  <si>
    <t>Végzáró profil cseresznye</t>
  </si>
  <si>
    <t>Végzáró profil nyír</t>
  </si>
  <si>
    <t>Koncová lišta třešeň Havana</t>
  </si>
  <si>
    <t>Végzáró profil cseresznye Havanna</t>
  </si>
  <si>
    <t>Végzáró profil calvados</t>
  </si>
  <si>
    <t>Kluzný kolík 8 mm černý</t>
  </si>
  <si>
    <t>Csúszka 8 mm fekete</t>
  </si>
  <si>
    <t>Kluzný kolík 8 mm bílý</t>
  </si>
  <si>
    <t>Csúszka 8 mm fehér</t>
  </si>
  <si>
    <t>Kluzný kolík 8 mm šedý</t>
  </si>
  <si>
    <t>klzný kolík 8 mm sivá</t>
  </si>
  <si>
    <t>Csúszka 8 mm szürke</t>
  </si>
  <si>
    <t>Kluzný kolík 8 mm světle hnědý (buk)</t>
  </si>
  <si>
    <t>Csúszka 8 mm világosbarna (bükk)</t>
  </si>
  <si>
    <t>Kluzný kolík 12 mm černý</t>
  </si>
  <si>
    <t>Csúszka 12 mm fekete</t>
  </si>
  <si>
    <t>Kluzný kolík 12 mm bílý</t>
  </si>
  <si>
    <t>Csúszka 12 mm fehér</t>
  </si>
  <si>
    <t>Kluzný kolík 12 mm šedý</t>
  </si>
  <si>
    <t>klzný kolík 12 mm sivá</t>
  </si>
  <si>
    <t>Kluzný kolík 12 mm světle hnědý (buk)</t>
  </si>
  <si>
    <t>Csúszka 12 mm világosbarna (bükk)</t>
  </si>
  <si>
    <t>Koncová lišta Alu 27 mm alu 230L</t>
  </si>
  <si>
    <t>Végzáró profil alu 27 mm alu 230L</t>
  </si>
  <si>
    <t>Kluzný kolík koncové lišty Alu 27 mm černý</t>
  </si>
  <si>
    <t>Csúszka végzáró profilhoz Alu 27 mm fekete</t>
  </si>
  <si>
    <t>Koncová lišta Alu kombi Alu 230L</t>
  </si>
  <si>
    <t>Végzáró profil alu kombi alu 230L</t>
  </si>
  <si>
    <t>Koncová lišta Alu Kombi nerez 360L</t>
  </si>
  <si>
    <t>Végzáró profil alu Kombi nemesacél 360L</t>
  </si>
  <si>
    <t>Kluzný kolík koncové lišty Alu Kombi šedý</t>
  </si>
  <si>
    <t>klzný kolík konc. lišty ALU Kombi sivá</t>
  </si>
  <si>
    <t>Csúszka végzáró profilhoz Alu Kombi szürke</t>
  </si>
  <si>
    <t>Koncová lišta s přesahem Alu spodní díl alu</t>
  </si>
  <si>
    <t>Végzáró profil átnyúlással alu alsó rész alu</t>
  </si>
  <si>
    <t>Kryt koncové lišty s přesahem černý</t>
  </si>
  <si>
    <t>Takaró elem végzáró profilhoz átnyúlással fekete</t>
  </si>
  <si>
    <t>Kryt koncové lišty s přesahem bílý</t>
  </si>
  <si>
    <t>Takaró elem végzáró profilhoz átnyúlással fehér</t>
  </si>
  <si>
    <t>Kryt koncové lišty s přesahem šedý</t>
  </si>
  <si>
    <t>Kryt koncovej lišty s presahom sivá</t>
  </si>
  <si>
    <t>Takaró elem végzáró profilhoz átnyúlással szürke</t>
  </si>
  <si>
    <t>Kryt koncové lišty s přesahem hliník (plast)</t>
  </si>
  <si>
    <t>Takaró elem végzáró profilhoz átnyúlással alumínium (műanyag)</t>
  </si>
  <si>
    <t>Takaró elem végzáró profilhoz átnyúlással jávor</t>
  </si>
  <si>
    <t>Koncová lišta s přesahem Alu 230L</t>
  </si>
  <si>
    <t>Koncová lišta s presahom ALU 230L</t>
  </si>
  <si>
    <t>Végzáró profil átnyúlással alu 230L</t>
  </si>
  <si>
    <t>Kluzný kolík pro R95817 černý</t>
  </si>
  <si>
    <t>Csúszka R95817-hoz fekete</t>
  </si>
  <si>
    <t>Kluzný kolík pro R95817 světle šedý</t>
  </si>
  <si>
    <t>Klzný kolík pre R95817 sv. sivá</t>
  </si>
  <si>
    <t>Csúszka R95817-hoz világosszürke</t>
  </si>
  <si>
    <t>Středová úchytová lišta C3 - uni černá</t>
  </si>
  <si>
    <t>Közép fogantyú profil C3 - uni fekete</t>
  </si>
  <si>
    <t>Středová úchytová lišta C3 - uni bílá</t>
  </si>
  <si>
    <t>Stredová úchytová lišta C3 - uni biela</t>
  </si>
  <si>
    <t>Közép fogantyú profil C3 - uni fehér</t>
  </si>
  <si>
    <t>Středová úchytová lišta C3 - uni šedá</t>
  </si>
  <si>
    <t>Stredová úchytová lišta C3 - uni sivá</t>
  </si>
  <si>
    <t>Közép fogantyú profil C3 - uni szürke</t>
  </si>
  <si>
    <t>Středová úchytová lišta C3 - dekor buk</t>
  </si>
  <si>
    <t>Stredová úchytová lišta C3 - dekor buk</t>
  </si>
  <si>
    <t>Közép fogantyú profil C3 - dekor bükk</t>
  </si>
  <si>
    <t>Středová úchytová lišta C3 hliník (plast)</t>
  </si>
  <si>
    <t>Stredová úch. lišta C3 hliník (plast)</t>
  </si>
  <si>
    <t>Közép fogantyú profil C3 alumínium (műanyag)</t>
  </si>
  <si>
    <t>Středová úchytová lišta C3 Alu s adaptérem alu 230L</t>
  </si>
  <si>
    <t>Közép fogantyú profil C3 alu adapterrel alu 230L</t>
  </si>
  <si>
    <t>Közép fogantyú profil C3 adapterrel nemesacél</t>
  </si>
  <si>
    <t>Kluzný kolík pro středovou úchytovou lištu černý</t>
  </si>
  <si>
    <t>Csúszka közép fogantyú profilra fekete</t>
  </si>
  <si>
    <t>Takaró profil uni fekete</t>
  </si>
  <si>
    <t>Takaró profil uni fehér</t>
  </si>
  <si>
    <t>Krycia lišta uni sivá</t>
  </si>
  <si>
    <t>Takaró profil uni szürke</t>
  </si>
  <si>
    <t>Takaró profil dekor alumínium (műanyag)</t>
  </si>
  <si>
    <t>Takaró profil dekor bükk</t>
  </si>
  <si>
    <t>Takaró profil dekor jávor</t>
  </si>
  <si>
    <t>Takaró profil dekor cseresznye</t>
  </si>
  <si>
    <t>Takaró profil dekor nyír</t>
  </si>
  <si>
    <t>Krycí lišta dekor třešeň Havana</t>
  </si>
  <si>
    <t>Takaró profil dekor cseresznye Havanna</t>
  </si>
  <si>
    <t>Takaró profil dekor calvados</t>
  </si>
  <si>
    <t>Krycí lišta Alu (profil L) alu 230L</t>
  </si>
  <si>
    <t>Krycia lišta ALU (profil L) ALU 230L</t>
  </si>
  <si>
    <t>Takaró profil alu (profil L) alu 230L</t>
  </si>
  <si>
    <t>Krycí lišta s přesahem Alu spodní díl</t>
  </si>
  <si>
    <t>Takaró profil átnyúlással alu alsó rész</t>
  </si>
  <si>
    <t>Takaró elem takaró profilhoz átnyúlással - uni fekete</t>
  </si>
  <si>
    <t>Takaró elem takaró profilhoz átnyúlással - uni fehér</t>
  </si>
  <si>
    <t>Kryt krycej lišty s presahom - uni sivá</t>
  </si>
  <si>
    <t>Takaró elem takaró profilhoz átnyúlással - uni szürke</t>
  </si>
  <si>
    <t>Kryt krycí lišty s přesahem hliník (plast)</t>
  </si>
  <si>
    <t>Takaró elem takaró profilhoz átnyúlással alumínium (műanyag)</t>
  </si>
  <si>
    <t>Takaró elem takaró profilhoz átnyúlással jávor</t>
  </si>
  <si>
    <t>Krycí lišta s přesahem Alu 230L</t>
  </si>
  <si>
    <t>Krycia lišta s presahom ALU 230L</t>
  </si>
  <si>
    <t>Takaró profil átnyúlással alu 230L</t>
  </si>
  <si>
    <t>Krycí lišta s přesahem Alu nerez 360L</t>
  </si>
  <si>
    <t>Takaró profil átnyúlással alu nemesacél 360L</t>
  </si>
  <si>
    <t>Lepicí páska 50m role (podlepení žaluzií)</t>
  </si>
  <si>
    <t>Lepiciaca páska, 50 m v kotúči</t>
  </si>
  <si>
    <t>Ragasztószalag 50m tekercs (redőnyökhöz)</t>
  </si>
  <si>
    <t>Uchwyt 128 mm - srebrny srebrny</t>
  </si>
  <si>
    <t>Fogantyú 128 mm - ezüst ezüst</t>
  </si>
  <si>
    <t>Úchytka 192 mm - strieborná</t>
  </si>
  <si>
    <t>Uchwyt 192 mm - srebrny srebrny</t>
  </si>
  <si>
    <t>Fogantyú 192 mm - ezüst ezüst</t>
  </si>
  <si>
    <t>Úchytka zápustná šedá RAL9006</t>
  </si>
  <si>
    <t>Úchytka zápustná sivá RAL 9006</t>
  </si>
  <si>
    <t>Uchwyt wpuszczany szary RAL9006</t>
  </si>
  <si>
    <t>Fogantyú besüllyeszthető szürke RAL9006</t>
  </si>
  <si>
    <t>Spojovací profil pro středovou úchytovou lištu</t>
  </si>
  <si>
    <t>Összekötő profil közép fogantyú profilra</t>
  </si>
  <si>
    <t>Magnetický dorazový profil koncové lišty Alu 27 mm</t>
  </si>
  <si>
    <t>Mágneses ütköző profil végzáró profilhoz Alu 27 mm</t>
  </si>
  <si>
    <t>Végzáró vezető profilra R92845 balos</t>
  </si>
  <si>
    <t>Végzáró vezető profilra R92845 jobbos</t>
  </si>
  <si>
    <t>Végzáró vezető profilra R92846 balos</t>
  </si>
  <si>
    <t>Végzáró vezető profilra R92846 jobbos</t>
  </si>
  <si>
    <t>Végzáró vezető profilhoz R00037</t>
  </si>
  <si>
    <t>Zarážka 20 mm pro koncovou lištu Alu kombi</t>
  </si>
  <si>
    <t>Ütköző 20 mm végzáró profilba Alu kombi</t>
  </si>
  <si>
    <t>Držák mechaniky C3 kovový</t>
  </si>
  <si>
    <t>C3 mechanika tartó fém</t>
  </si>
  <si>
    <t>C8-as felcsévélő mechanika</t>
  </si>
  <si>
    <t>Sada podpůrných tyčí pro mechaniku C8</t>
  </si>
  <si>
    <t>Rúd szett C8-as mechanikához</t>
  </si>
  <si>
    <t>Koncová lišta s přesahem nerez 360L</t>
  </si>
  <si>
    <t>Koncová lišta s presahom nerez 360L</t>
  </si>
  <si>
    <t>Végzáró profil átnyúlással nemesacél 360L</t>
  </si>
  <si>
    <t>Fék CADDY (szerelés jobbra) fekete</t>
  </si>
  <si>
    <t>Takaró profil Frame nemesacél 360L</t>
  </si>
  <si>
    <t>Krycí lišta nerez (profil L) nerez 360L</t>
  </si>
  <si>
    <t>Krycia lišta nerez (profil L) nerez 360</t>
  </si>
  <si>
    <t>Takaró profil nemesacél (profil L) nemesacél 360L</t>
  </si>
  <si>
    <t>Koncová lišta Alu 27 mm nerez 360L</t>
  </si>
  <si>
    <t>Végzáró profil alu 27 mm nemesacél 360L</t>
  </si>
  <si>
    <t>Roletový profil E23 RAL7016</t>
  </si>
  <si>
    <t>Koncová lišta RAL7016</t>
  </si>
  <si>
    <t>Végzáró profil RAL7016</t>
  </si>
  <si>
    <t>Krycí lišta RAL7016</t>
  </si>
  <si>
    <t>Takaró profil RAL7016</t>
  </si>
  <si>
    <t>Vodicí šnek 8 mm, kapacita 1590 mm šedý</t>
  </si>
  <si>
    <t>Vodiaci slimák 8 mm, kapacita 1590mm sivá</t>
  </si>
  <si>
    <t>Vezető csiga 8 mm, kapacitás 1590 mm szürke</t>
  </si>
  <si>
    <t>Roletový profil E9 zářivě bílý</t>
  </si>
  <si>
    <t>Krycí profil Top zářivě bílý</t>
  </si>
  <si>
    <t>Végzáró profil fényes fehér</t>
  </si>
  <si>
    <t>Közép fogantyú profil fényes fehér</t>
  </si>
  <si>
    <t>Kluzný kolík 8 mm bílý RAL9010 pro koncovou lištu E9</t>
  </si>
  <si>
    <t>Csúszó talp 8 mm fehér RAL9010 végzáró profilba E9</t>
  </si>
  <si>
    <t>Barevné provedení Bříza v profilu E23 již nelze kombinovat s vedením FRAME.</t>
  </si>
  <si>
    <t>Barevné provedení Třešeň v profilu E23 již nelze kombinovat s vedením FRAME.</t>
  </si>
  <si>
    <t>Farebné prevedenie Breza v profile E23 už nie je  možné kombinovať s vedením FRAME.</t>
  </si>
  <si>
    <t>Koloru Brzoza w profilu E23 nie da się łączyć z prowadzeniem FRAME.</t>
  </si>
  <si>
    <t>A Nyír színes elkészítése az E23 profilnál, nem kombinálható a FRAME vezetéssel</t>
  </si>
  <si>
    <t>Farebné prevedenie Javor v profile E23 už nie je  možné kombinovať s vedením FRAME.</t>
  </si>
  <si>
    <t>Koloru Klon w profilu E23 nie da się łączyć z prowadzeniem FRAME.</t>
  </si>
  <si>
    <t>A Jávor színes elkészítése az E23 profilnál, nem kombinálható a FRAME vezetéssel</t>
  </si>
  <si>
    <t>Farebné prevedenie Čerešňa v profile E23 už nie je  možné kombinovať s vedením FRAME.</t>
  </si>
  <si>
    <t>Koloru Czereśnia w profilu E23 nie da się łączyć z prowadzeniem FRAME.</t>
  </si>
  <si>
    <t>A Cseresznye színes elkészítése az E23 profilnál, nem kombinálható a FRAME vezetéssel</t>
  </si>
  <si>
    <t>Barevné provedení Javor v profilu E23 již nelze kombinovat s vedením FRAME.</t>
  </si>
  <si>
    <t>06.01.2025</t>
  </si>
  <si>
    <t>25.01</t>
  </si>
  <si>
    <t xml:space="preserve">Podane ceny nie zawierają podatku VAT i obowiązują od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</si>
</sst>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* #,##0.00\ &quot;Kč&quot;_-;\-* #,##0.00\ &quot;Kč&quot;_-;_-* &quot;-&quot;??\ &quot;Kč&quot;_-;_-@_-"/>
    <numFmt numFmtId="164" formatCode="_-* #,##0.00\ _K_č_-;\-* #,##0.00\ _K_č_-;_-* &quot;-&quot;??\ _K_č_-;_-@_-"/>
    <numFmt numFmtId="165" formatCode="#,##0\ &quot;Kč&quot;"/>
    <numFmt numFmtId="166" formatCode="#,##0.00\ &quot;Kč&quot;"/>
    <numFmt numFmtId="167" formatCode="#,##0.0"/>
    <numFmt numFmtId="168" formatCode="0.0"/>
    <numFmt numFmtId="169" formatCode="_-* #,##0.00\ [$zł-415]_-;\-* #,##0.00\ [$zł-415]_-;_-* &quot;-&quot;??\ [$zł-415]_-;_-@_-"/>
  </numFmts>
  <fonts count="76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</font>
    <font>
      <sz val="14"/>
      <name val="Arial"/>
      <family val="2"/>
      <charset val="238"/>
    </font>
    <font>
      <b/>
      <sz val="12"/>
      <name val="Arial"/>
      <family val="2"/>
    </font>
    <font>
      <sz val="10"/>
      <name val="Arial"/>
      <family val="2"/>
    </font>
    <font>
      <sz val="24"/>
      <name val="Arial"/>
      <family val="2"/>
      <charset val="238"/>
    </font>
    <font>
      <sz val="14"/>
      <name val="Arial"/>
      <family val="2"/>
    </font>
    <font>
      <b/>
      <sz val="14"/>
      <name val="Arial"/>
      <family val="2"/>
    </font>
    <font>
      <sz val="24"/>
      <name val="Arial"/>
      <family val="2"/>
    </font>
    <font>
      <sz val="16"/>
      <name val="Arial"/>
      <family val="2"/>
      <charset val="238"/>
    </font>
    <font>
      <b/>
      <sz val="7"/>
      <name val="Arial"/>
      <family val="2"/>
    </font>
    <font>
      <sz val="18"/>
      <name val="Arial"/>
      <family val="2"/>
      <charset val="238"/>
    </font>
    <font>
      <b/>
      <sz val="8"/>
      <name val="Arial"/>
      <family val="2"/>
    </font>
    <font>
      <sz val="8"/>
      <name val="Tahoma"/>
      <family val="2"/>
      <charset val="238"/>
    </font>
    <font>
      <sz val="10"/>
      <name val="Arial"/>
      <family val="2"/>
      <charset val="238"/>
    </font>
    <font>
      <sz val="30"/>
      <name val="Microsoft Sans Serif"/>
      <family val="2"/>
    </font>
    <font>
      <sz val="14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sz val="8"/>
      <name val="Tahoma"/>
      <family val="2"/>
      <charset val="238"/>
    </font>
    <font>
      <sz val="10"/>
      <name val="Arial"/>
      <family val="2"/>
      <charset val="238"/>
    </font>
    <font>
      <sz val="10"/>
      <name val="Arial Narrow"/>
      <family val="2"/>
      <charset val="238"/>
    </font>
    <font>
      <sz val="10"/>
      <name val="Arial Narrow"/>
      <family val="2"/>
      <charset val="238"/>
    </font>
    <font>
      <b/>
      <sz val="10"/>
      <name val="Arial Narrow"/>
      <family val="2"/>
      <charset val="238"/>
    </font>
    <font>
      <b/>
      <sz val="9"/>
      <color indexed="81"/>
      <name val="Tahoma"/>
      <family val="2"/>
      <charset val="238"/>
    </font>
    <font>
      <sz val="11"/>
      <color indexed="8"/>
      <name val="Calibri"/>
      <family val="2"/>
      <charset val="238"/>
    </font>
    <font>
      <sz val="9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0"/>
      <color theme="10"/>
      <name val="Arial"/>
      <family val="2"/>
      <charset val="238"/>
    </font>
    <font>
      <u/>
      <sz val="9.35"/>
      <color theme="10"/>
      <name val="Calibri"/>
      <family val="2"/>
      <charset val="238"/>
    </font>
    <font>
      <sz val="9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9"/>
      <color rgb="FFFF0000"/>
      <name val="Calibri"/>
      <family val="2"/>
      <charset val="238"/>
      <scheme val="minor"/>
    </font>
    <font>
      <sz val="10"/>
      <color rgb="FFFF0000"/>
      <name val="Arial"/>
      <family val="2"/>
      <charset val="238"/>
    </font>
    <font>
      <sz val="10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b/>
      <sz val="7"/>
      <name val="Calibri"/>
      <family val="2"/>
      <charset val="238"/>
      <scheme val="minor"/>
    </font>
    <font>
      <b/>
      <sz val="10"/>
      <color theme="4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2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26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u/>
      <sz val="11"/>
      <color theme="10"/>
      <name val="Arial"/>
      <family val="2"/>
      <charset val="238"/>
    </font>
    <font>
      <sz val="26"/>
      <name val="Calibri"/>
      <family val="2"/>
      <charset val="238"/>
      <scheme val="minor"/>
    </font>
    <font>
      <u/>
      <sz val="12"/>
      <color theme="10"/>
      <name val="Calibri"/>
      <family val="2"/>
      <charset val="238"/>
      <scheme val="minor"/>
    </font>
    <font>
      <sz val="22"/>
      <color theme="1"/>
      <name val="Calibri"/>
      <family val="2"/>
      <charset val="238"/>
      <scheme val="minor"/>
    </font>
    <font>
      <b/>
      <sz val="9"/>
      <color theme="4"/>
      <name val="Calibri"/>
      <family val="2"/>
      <charset val="238"/>
      <scheme val="minor"/>
    </font>
    <font>
      <sz val="9"/>
      <color rgb="FF0000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0"/>
      <color rgb="FFFF0000"/>
      <name val="Arial"/>
      <family val="2"/>
      <charset val="238"/>
    </font>
    <font>
      <sz val="10"/>
      <color rgb="FFFF0000"/>
      <name val="Calibri"/>
      <family val="2"/>
      <charset val="238"/>
      <scheme val="minor"/>
    </font>
    <font>
      <sz val="10"/>
      <color rgb="FFFF0000"/>
      <name val="Arial"/>
      <family val="2"/>
    </font>
    <font>
      <sz val="9"/>
      <color rgb="FF00B0F0"/>
      <name val="Calibri"/>
      <family val="2"/>
      <charset val="238"/>
      <scheme val="minor"/>
    </font>
    <font>
      <sz val="10"/>
      <color rgb="FF00B0F0"/>
      <name val="Arial"/>
      <family val="2"/>
    </font>
    <font>
      <b/>
      <sz val="10"/>
      <color rgb="FFFF0000"/>
      <name val="Arial"/>
      <family val="2"/>
    </font>
    <font>
      <sz val="10"/>
      <color theme="4"/>
      <name val="Arial"/>
      <family val="2"/>
    </font>
    <font>
      <sz val="12"/>
      <color rgb="FFFF0000"/>
      <name val="Calibri"/>
      <family val="2"/>
      <charset val="238"/>
      <scheme val="minor"/>
    </font>
    <font>
      <b/>
      <sz val="9"/>
      <color theme="4"/>
      <name val="Calibri"/>
      <family val="2"/>
      <scheme val="minor"/>
    </font>
    <font>
      <sz val="8"/>
      <color rgb="FFFF0000"/>
      <name val="Tahoma"/>
      <family val="2"/>
      <charset val="238"/>
    </font>
    <font>
      <sz val="10"/>
      <name val="Arial"/>
      <family val="2"/>
    </font>
    <font>
      <u/>
      <sz val="18"/>
      <color theme="10"/>
      <name val="Arial"/>
      <family val="2"/>
      <charset val="238"/>
    </font>
    <font>
      <sz val="9"/>
      <color indexed="81"/>
      <name val="Tahoma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CDDAFF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10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14"/>
      </left>
      <right style="thin">
        <color indexed="14"/>
      </right>
      <top style="thin">
        <color indexed="14"/>
      </top>
      <bottom style="thin">
        <color indexed="14"/>
      </bottom>
      <diagonal/>
    </border>
    <border>
      <left style="thin">
        <color indexed="20"/>
      </left>
      <right style="thin">
        <color indexed="20"/>
      </right>
      <top style="thin">
        <color indexed="20"/>
      </top>
      <bottom style="thin">
        <color indexed="20"/>
      </bottom>
      <diagonal/>
    </border>
    <border>
      <left style="thin">
        <color indexed="20"/>
      </left>
      <right style="thin">
        <color indexed="20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20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4"/>
      </left>
      <right style="thin">
        <color indexed="14"/>
      </right>
      <top/>
      <bottom style="thin">
        <color indexed="14"/>
      </bottom>
      <diagonal/>
    </border>
    <border>
      <left style="thin">
        <color indexed="14"/>
      </left>
      <right/>
      <top/>
      <bottom style="thin">
        <color indexed="14"/>
      </bottom>
      <diagonal/>
    </border>
    <border>
      <left style="thin">
        <color indexed="20"/>
      </left>
      <right/>
      <top style="thin">
        <color indexed="20"/>
      </top>
      <bottom style="thin">
        <color indexed="2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/>
      <top/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Down="1">
      <left style="medium">
        <color indexed="64"/>
      </left>
      <right style="medium">
        <color indexed="64"/>
      </right>
      <top style="medium">
        <color indexed="64"/>
      </top>
      <bottom/>
      <diagonal style="thin">
        <color indexed="64"/>
      </diagonal>
    </border>
    <border diagonalDown="1">
      <left style="medium">
        <color indexed="64"/>
      </left>
      <right style="medium">
        <color indexed="64"/>
      </right>
      <top/>
      <bottom/>
      <diagonal style="thin">
        <color indexed="64"/>
      </diagonal>
    </border>
    <border diagonalDown="1">
      <left style="medium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medium">
        <color indexed="64"/>
      </right>
      <top/>
      <bottom/>
      <diagonal style="thin">
        <color indexed="64"/>
      </diagonal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4">
    <xf numFmtId="0" fontId="0" fillId="0" borderId="0"/>
    <xf numFmtId="164" fontId="4" fillId="0" borderId="0" applyFont="0" applyFill="0" applyBorder="0" applyAlignment="0" applyProtection="0"/>
    <xf numFmtId="0" fontId="32" fillId="0" borderId="0" applyNumberFormat="0" applyFill="0" applyBorder="0" applyAlignment="0" applyProtection="0">
      <alignment vertical="top"/>
      <protection locked="0"/>
    </xf>
    <xf numFmtId="0" fontId="33" fillId="0" borderId="0" applyNumberFormat="0" applyFill="0" applyBorder="0" applyAlignment="0" applyProtection="0">
      <alignment vertical="top"/>
      <protection locked="0"/>
    </xf>
    <xf numFmtId="0" fontId="31" fillId="0" borderId="0"/>
    <xf numFmtId="0" fontId="18" fillId="0" borderId="0"/>
    <xf numFmtId="0" fontId="25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9" fontId="29" fillId="0" borderId="0" applyFont="0" applyFill="0" applyBorder="0" applyAlignment="0" applyProtection="0"/>
    <xf numFmtId="44" fontId="72" fillId="0" borderId="0" applyFont="0" applyFill="0" applyBorder="0" applyAlignment="0" applyProtection="0"/>
  </cellStyleXfs>
  <cellXfs count="621">
    <xf numFmtId="0" fontId="0" fillId="0" borderId="0" xfId="0"/>
    <xf numFmtId="0" fontId="6" fillId="0" borderId="0" xfId="0" applyFont="1"/>
    <xf numFmtId="0" fontId="7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2" fontId="0" fillId="0" borderId="4" xfId="0" applyNumberFormat="1" applyBorder="1"/>
    <xf numFmtId="2" fontId="0" fillId="0" borderId="5" xfId="0" applyNumberFormat="1" applyBorder="1"/>
    <xf numFmtId="2" fontId="0" fillId="0" borderId="6" xfId="0" applyNumberFormat="1" applyBorder="1"/>
    <xf numFmtId="2" fontId="0" fillId="0" borderId="7" xfId="0" applyNumberFormat="1" applyBorder="1"/>
    <xf numFmtId="2" fontId="0" fillId="0" borderId="8" xfId="0" applyNumberFormat="1" applyBorder="1"/>
    <xf numFmtId="2" fontId="0" fillId="0" borderId="1" xfId="0" applyNumberFormat="1" applyBorder="1"/>
    <xf numFmtId="2" fontId="0" fillId="0" borderId="2" xfId="0" applyNumberFormat="1" applyBorder="1"/>
    <xf numFmtId="2" fontId="6" fillId="0" borderId="9" xfId="0" applyNumberFormat="1" applyFont="1" applyBorder="1"/>
    <xf numFmtId="2" fontId="6" fillId="0" borderId="10" xfId="0" applyNumberFormat="1" applyFont="1" applyBorder="1"/>
    <xf numFmtId="2" fontId="6" fillId="0" borderId="11" xfId="0" applyNumberFormat="1" applyFont="1" applyBorder="1"/>
    <xf numFmtId="0" fontId="9" fillId="0" borderId="0" xfId="0" applyFont="1"/>
    <xf numFmtId="0" fontId="5" fillId="0" borderId="0" xfId="0" applyFont="1"/>
    <xf numFmtId="0" fontId="0" fillId="0" borderId="0" xfId="0" applyAlignment="1">
      <alignment horizontal="center"/>
    </xf>
    <xf numFmtId="2" fontId="0" fillId="0" borderId="4" xfId="0" applyNumberFormat="1" applyBorder="1" applyAlignment="1">
      <alignment horizontal="center"/>
    </xf>
    <xf numFmtId="2" fontId="11" fillId="0" borderId="4" xfId="0" applyNumberFormat="1" applyFont="1" applyBorder="1" applyAlignment="1">
      <alignment horizontal="center"/>
    </xf>
    <xf numFmtId="0" fontId="12" fillId="0" borderId="0" xfId="0" applyFont="1"/>
    <xf numFmtId="0" fontId="15" fillId="0" borderId="0" xfId="0" applyFont="1"/>
    <xf numFmtId="0" fontId="0" fillId="0" borderId="0" xfId="0" applyProtection="1">
      <protection locked="0"/>
    </xf>
    <xf numFmtId="0" fontId="4" fillId="0" borderId="0" xfId="0" applyFont="1"/>
    <xf numFmtId="0" fontId="0" fillId="0" borderId="11" xfId="0" applyBorder="1" applyProtection="1">
      <protection locked="0"/>
    </xf>
    <xf numFmtId="0" fontId="0" fillId="0" borderId="12" xfId="0" applyBorder="1"/>
    <xf numFmtId="0" fontId="0" fillId="0" borderId="9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13" fillId="0" borderId="19" xfId="0" applyFont="1" applyBorder="1"/>
    <xf numFmtId="0" fontId="13" fillId="0" borderId="15" xfId="0" applyFont="1" applyBorder="1"/>
    <xf numFmtId="0" fontId="0" fillId="0" borderId="20" xfId="0" applyBorder="1"/>
    <xf numFmtId="165" fontId="0" fillId="0" borderId="12" xfId="0" applyNumberFormat="1" applyBorder="1"/>
    <xf numFmtId="165" fontId="0" fillId="0" borderId="20" xfId="0" applyNumberFormat="1" applyBorder="1"/>
    <xf numFmtId="165" fontId="0" fillId="0" borderId="9" xfId="0" applyNumberFormat="1" applyBorder="1"/>
    <xf numFmtId="0" fontId="0" fillId="0" borderId="21" xfId="0" applyBorder="1"/>
    <xf numFmtId="0" fontId="18" fillId="0" borderId="0" xfId="0" applyFont="1"/>
    <xf numFmtId="166" fontId="5" fillId="0" borderId="11" xfId="0" applyNumberFormat="1" applyFont="1" applyBorder="1"/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13" fillId="0" borderId="0" xfId="0" applyFont="1"/>
    <xf numFmtId="0" fontId="6" fillId="2" borderId="19" xfId="0" applyFont="1" applyFill="1" applyBorder="1"/>
    <xf numFmtId="0" fontId="0" fillId="2" borderId="13" xfId="0" applyFill="1" applyBorder="1"/>
    <xf numFmtId="0" fontId="0" fillId="2" borderId="14" xfId="0" applyFill="1" applyBorder="1"/>
    <xf numFmtId="0" fontId="0" fillId="2" borderId="15" xfId="0" applyFill="1" applyBorder="1"/>
    <xf numFmtId="0" fontId="0" fillId="2" borderId="0" xfId="0" applyFill="1"/>
    <xf numFmtId="0" fontId="5" fillId="2" borderId="0" xfId="0" applyFont="1" applyFill="1"/>
    <xf numFmtId="0" fontId="5" fillId="2" borderId="16" xfId="0" applyFont="1" applyFill="1" applyBorder="1"/>
    <xf numFmtId="0" fontId="0" fillId="2" borderId="16" xfId="0" applyFill="1" applyBorder="1"/>
    <xf numFmtId="2" fontId="0" fillId="2" borderId="0" xfId="0" applyNumberFormat="1" applyFill="1"/>
    <xf numFmtId="0" fontId="5" fillId="2" borderId="12" xfId="0" applyFont="1" applyFill="1" applyBorder="1"/>
    <xf numFmtId="0" fontId="5" fillId="2" borderId="20" xfId="0" applyFont="1" applyFill="1" applyBorder="1"/>
    <xf numFmtId="0" fontId="5" fillId="2" borderId="9" xfId="0" applyFont="1" applyFill="1" applyBorder="1"/>
    <xf numFmtId="0" fontId="0" fillId="2" borderId="17" xfId="0" applyFill="1" applyBorder="1"/>
    <xf numFmtId="0" fontId="0" fillId="2" borderId="18" xfId="0" applyFill="1" applyBorder="1"/>
    <xf numFmtId="0" fontId="0" fillId="2" borderId="2" xfId="0" applyFill="1" applyBorder="1"/>
    <xf numFmtId="0" fontId="5" fillId="2" borderId="13" xfId="0" applyFont="1" applyFill="1" applyBorder="1"/>
    <xf numFmtId="0" fontId="6" fillId="3" borderId="19" xfId="0" applyFont="1" applyFill="1" applyBorder="1"/>
    <xf numFmtId="0" fontId="0" fillId="3" borderId="13" xfId="0" applyFill="1" applyBorder="1"/>
    <xf numFmtId="0" fontId="10" fillId="3" borderId="13" xfId="0" applyFont="1" applyFill="1" applyBorder="1"/>
    <xf numFmtId="0" fontId="0" fillId="3" borderId="11" xfId="0" applyFill="1" applyBorder="1"/>
    <xf numFmtId="0" fontId="0" fillId="3" borderId="14" xfId="0" applyFill="1" applyBorder="1"/>
    <xf numFmtId="0" fontId="0" fillId="3" borderId="15" xfId="0" applyFill="1" applyBorder="1"/>
    <xf numFmtId="0" fontId="0" fillId="3" borderId="0" xfId="0" applyFill="1"/>
    <xf numFmtId="0" fontId="0" fillId="3" borderId="16" xfId="0" applyFill="1" applyBorder="1"/>
    <xf numFmtId="2" fontId="8" fillId="3" borderId="0" xfId="0" applyNumberFormat="1" applyFont="1" applyFill="1"/>
    <xf numFmtId="2" fontId="5" fillId="3" borderId="11" xfId="0" applyNumberFormat="1" applyFont="1" applyFill="1" applyBorder="1"/>
    <xf numFmtId="2" fontId="0" fillId="3" borderId="0" xfId="0" applyNumberFormat="1" applyFill="1"/>
    <xf numFmtId="2" fontId="5" fillId="3" borderId="0" xfId="0" applyNumberFormat="1" applyFont="1" applyFill="1"/>
    <xf numFmtId="0" fontId="0" fillId="3" borderId="0" xfId="0" applyFill="1" applyAlignment="1">
      <alignment horizontal="center"/>
    </xf>
    <xf numFmtId="2" fontId="5" fillId="3" borderId="12" xfId="0" applyNumberFormat="1" applyFont="1" applyFill="1" applyBorder="1"/>
    <xf numFmtId="2" fontId="5" fillId="3" borderId="9" xfId="0" applyNumberFormat="1" applyFont="1" applyFill="1" applyBorder="1"/>
    <xf numFmtId="0" fontId="0" fillId="3" borderId="17" xfId="0" applyFill="1" applyBorder="1"/>
    <xf numFmtId="0" fontId="0" fillId="3" borderId="18" xfId="0" applyFill="1" applyBorder="1"/>
    <xf numFmtId="0" fontId="0" fillId="3" borderId="2" xfId="0" applyFill="1" applyBorder="1"/>
    <xf numFmtId="0" fontId="8" fillId="3" borderId="0" xfId="0" applyFont="1" applyFill="1"/>
    <xf numFmtId="0" fontId="5" fillId="3" borderId="12" xfId="0" applyFont="1" applyFill="1" applyBorder="1"/>
    <xf numFmtId="0" fontId="5" fillId="3" borderId="0" xfId="0" applyFont="1" applyFill="1"/>
    <xf numFmtId="0" fontId="5" fillId="3" borderId="20" xfId="0" applyFont="1" applyFill="1" applyBorder="1"/>
    <xf numFmtId="0" fontId="5" fillId="3" borderId="9" xfId="0" applyFont="1" applyFill="1" applyBorder="1"/>
    <xf numFmtId="0" fontId="0" fillId="3" borderId="15" xfId="0" applyFill="1" applyBorder="1" applyAlignment="1">
      <alignment horizontal="center"/>
    </xf>
    <xf numFmtId="0" fontId="5" fillId="3" borderId="11" xfId="0" applyFont="1" applyFill="1" applyBorder="1"/>
    <xf numFmtId="0" fontId="0" fillId="3" borderId="17" xfId="0" applyFill="1" applyBorder="1" applyAlignment="1">
      <alignment horizontal="center"/>
    </xf>
    <xf numFmtId="0" fontId="5" fillId="3" borderId="18" xfId="0" applyFont="1" applyFill="1" applyBorder="1"/>
    <xf numFmtId="0" fontId="17" fillId="3" borderId="22" xfId="0" applyFont="1" applyFill="1" applyBorder="1" applyAlignment="1">
      <alignment horizontal="center"/>
    </xf>
    <xf numFmtId="0" fontId="17" fillId="3" borderId="23" xfId="0" applyFont="1" applyFill="1" applyBorder="1" applyAlignment="1">
      <alignment horizontal="left"/>
    </xf>
    <xf numFmtId="0" fontId="17" fillId="3" borderId="23" xfId="0" applyFont="1" applyFill="1" applyBorder="1" applyAlignment="1">
      <alignment horizontal="right"/>
    </xf>
    <xf numFmtId="0" fontId="17" fillId="3" borderId="24" xfId="0" applyFont="1" applyFill="1" applyBorder="1" applyAlignment="1">
      <alignment horizontal="right"/>
    </xf>
    <xf numFmtId="0" fontId="18" fillId="3" borderId="0" xfId="0" applyFont="1" applyFill="1"/>
    <xf numFmtId="0" fontId="17" fillId="3" borderId="0" xfId="0" applyFont="1" applyFill="1" applyAlignment="1">
      <alignment horizontal="right"/>
    </xf>
    <xf numFmtId="0" fontId="0" fillId="4" borderId="0" xfId="0" applyFill="1"/>
    <xf numFmtId="0" fontId="6" fillId="4" borderId="19" xfId="0" applyFont="1" applyFill="1" applyBorder="1"/>
    <xf numFmtId="0" fontId="0" fillId="4" borderId="13" xfId="0" applyFill="1" applyBorder="1"/>
    <xf numFmtId="0" fontId="0" fillId="4" borderId="14" xfId="0" applyFill="1" applyBorder="1"/>
    <xf numFmtId="0" fontId="0" fillId="4" borderId="15" xfId="0" applyFill="1" applyBorder="1"/>
    <xf numFmtId="0" fontId="5" fillId="4" borderId="0" xfId="0" applyFont="1" applyFill="1"/>
    <xf numFmtId="0" fontId="5" fillId="4" borderId="16" xfId="0" applyFont="1" applyFill="1" applyBorder="1"/>
    <xf numFmtId="0" fontId="0" fillId="4" borderId="16" xfId="0" applyFill="1" applyBorder="1"/>
    <xf numFmtId="2" fontId="0" fillId="4" borderId="0" xfId="0" applyNumberFormat="1" applyFill="1"/>
    <xf numFmtId="0" fontId="5" fillId="4" borderId="12" xfId="0" applyFont="1" applyFill="1" applyBorder="1"/>
    <xf numFmtId="0" fontId="5" fillId="4" borderId="20" xfId="0" applyFont="1" applyFill="1" applyBorder="1"/>
    <xf numFmtId="0" fontId="5" fillId="4" borderId="9" xfId="0" applyFont="1" applyFill="1" applyBorder="1"/>
    <xf numFmtId="0" fontId="0" fillId="4" borderId="17" xfId="0" applyFill="1" applyBorder="1"/>
    <xf numFmtId="0" fontId="0" fillId="4" borderId="18" xfId="0" applyFill="1" applyBorder="1"/>
    <xf numFmtId="0" fontId="8" fillId="0" borderId="15" xfId="0" applyFont="1" applyBorder="1" applyAlignment="1">
      <alignment horizontal="center"/>
    </xf>
    <xf numFmtId="0" fontId="0" fillId="5" borderId="0" xfId="0" applyFill="1"/>
    <xf numFmtId="0" fontId="0" fillId="0" borderId="0" xfId="0" quotePrefix="1"/>
    <xf numFmtId="0" fontId="0" fillId="5" borderId="12" xfId="0" applyFill="1" applyBorder="1"/>
    <xf numFmtId="0" fontId="0" fillId="5" borderId="9" xfId="0" applyFill="1" applyBorder="1"/>
    <xf numFmtId="0" fontId="0" fillId="6" borderId="0" xfId="0" applyFill="1"/>
    <xf numFmtId="0" fontId="0" fillId="5" borderId="20" xfId="0" applyFill="1" applyBorder="1"/>
    <xf numFmtId="0" fontId="0" fillId="7" borderId="12" xfId="0" applyFill="1" applyBorder="1"/>
    <xf numFmtId="0" fontId="0" fillId="7" borderId="9" xfId="0" applyFill="1" applyBorder="1"/>
    <xf numFmtId="0" fontId="0" fillId="8" borderId="12" xfId="0" applyFill="1" applyBorder="1"/>
    <xf numFmtId="0" fontId="0" fillId="8" borderId="9" xfId="0" applyFill="1" applyBorder="1"/>
    <xf numFmtId="0" fontId="0" fillId="9" borderId="0" xfId="0" applyFill="1"/>
    <xf numFmtId="0" fontId="0" fillId="0" borderId="25" xfId="0" applyBorder="1"/>
    <xf numFmtId="0" fontId="0" fillId="0" borderId="26" xfId="0" applyBorder="1"/>
    <xf numFmtId="0" fontId="0" fillId="10" borderId="2" xfId="0" applyFill="1" applyBorder="1"/>
    <xf numFmtId="0" fontId="0" fillId="11" borderId="12" xfId="0" applyFill="1" applyBorder="1"/>
    <xf numFmtId="0" fontId="0" fillId="11" borderId="2" xfId="0" applyFill="1" applyBorder="1"/>
    <xf numFmtId="0" fontId="0" fillId="12" borderId="0" xfId="0" applyFill="1"/>
    <xf numFmtId="0" fontId="0" fillId="13" borderId="0" xfId="0" applyFill="1"/>
    <xf numFmtId="0" fontId="0" fillId="0" borderId="0" xfId="0" applyAlignment="1">
      <alignment horizontal="left"/>
    </xf>
    <xf numFmtId="0" fontId="5" fillId="0" borderId="15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1" fontId="7" fillId="0" borderId="11" xfId="0" applyNumberFormat="1" applyFont="1" applyBorder="1"/>
    <xf numFmtId="0" fontId="5" fillId="0" borderId="27" xfId="0" applyFont="1" applyBorder="1"/>
    <xf numFmtId="0" fontId="0" fillId="0" borderId="10" xfId="0" applyBorder="1"/>
    <xf numFmtId="0" fontId="0" fillId="0" borderId="28" xfId="0" applyBorder="1"/>
    <xf numFmtId="0" fontId="0" fillId="0" borderId="29" xfId="0" applyBorder="1"/>
    <xf numFmtId="1" fontId="7" fillId="13" borderId="11" xfId="0" applyNumberFormat="1" applyFont="1" applyFill="1" applyBorder="1"/>
    <xf numFmtId="0" fontId="0" fillId="10" borderId="20" xfId="0" applyFill="1" applyBorder="1"/>
    <xf numFmtId="0" fontId="0" fillId="7" borderId="26" xfId="0" applyFill="1" applyBorder="1"/>
    <xf numFmtId="0" fontId="0" fillId="7" borderId="3" xfId="0" applyFill="1" applyBorder="1"/>
    <xf numFmtId="0" fontId="6" fillId="13" borderId="0" xfId="0" applyFont="1" applyFill="1" applyProtection="1">
      <protection locked="0"/>
    </xf>
    <xf numFmtId="166" fontId="5" fillId="0" borderId="12" xfId="0" applyNumberFormat="1" applyFont="1" applyBorder="1"/>
    <xf numFmtId="0" fontId="0" fillId="0" borderId="30" xfId="0" applyBorder="1"/>
    <xf numFmtId="0" fontId="4" fillId="0" borderId="25" xfId="0" applyFont="1" applyBorder="1"/>
    <xf numFmtId="166" fontId="5" fillId="0" borderId="20" xfId="0" applyNumberFormat="1" applyFont="1" applyBorder="1"/>
    <xf numFmtId="0" fontId="17" fillId="3" borderId="31" xfId="0" applyFont="1" applyFill="1" applyBorder="1" applyAlignment="1">
      <alignment horizontal="right"/>
    </xf>
    <xf numFmtId="0" fontId="5" fillId="9" borderId="20" xfId="0" applyFont="1" applyFill="1" applyBorder="1"/>
    <xf numFmtId="0" fontId="5" fillId="9" borderId="0" xfId="0" applyFont="1" applyFill="1"/>
    <xf numFmtId="0" fontId="0" fillId="0" borderId="11" xfId="0" applyBorder="1"/>
    <xf numFmtId="0" fontId="6" fillId="0" borderId="11" xfId="0" applyFont="1" applyBorder="1"/>
    <xf numFmtId="0" fontId="0" fillId="0" borderId="32" xfId="0" applyBorder="1"/>
    <xf numFmtId="165" fontId="5" fillId="0" borderId="0" xfId="0" applyNumberFormat="1" applyFont="1"/>
    <xf numFmtId="165" fontId="5" fillId="0" borderId="0" xfId="0" applyNumberFormat="1" applyFont="1" applyAlignment="1">
      <alignment horizontal="right"/>
    </xf>
    <xf numFmtId="1" fontId="0" fillId="0" borderId="4" xfId="0" applyNumberFormat="1" applyBorder="1"/>
    <xf numFmtId="1" fontId="0" fillId="13" borderId="33" xfId="0" applyNumberFormat="1" applyFill="1" applyBorder="1"/>
    <xf numFmtId="1" fontId="0" fillId="0" borderId="11" xfId="0" applyNumberFormat="1" applyBorder="1" applyAlignment="1">
      <alignment horizontal="right"/>
    </xf>
    <xf numFmtId="1" fontId="0" fillId="13" borderId="11" xfId="0" applyNumberFormat="1" applyFill="1" applyBorder="1" applyAlignment="1">
      <alignment horizontal="right"/>
    </xf>
    <xf numFmtId="1" fontId="0" fillId="0" borderId="12" xfId="0" applyNumberFormat="1" applyBorder="1"/>
    <xf numFmtId="1" fontId="0" fillId="13" borderId="12" xfId="0" applyNumberFormat="1" applyFill="1" applyBorder="1"/>
    <xf numFmtId="1" fontId="0" fillId="0" borderId="13" xfId="0" applyNumberFormat="1" applyBorder="1" applyAlignment="1">
      <alignment horizontal="right"/>
    </xf>
    <xf numFmtId="1" fontId="0" fillId="13" borderId="34" xfId="0" applyNumberFormat="1" applyFill="1" applyBorder="1"/>
    <xf numFmtId="1" fontId="0" fillId="13" borderId="4" xfId="0" applyNumberFormat="1" applyFill="1" applyBorder="1"/>
    <xf numFmtId="1" fontId="0" fillId="0" borderId="5" xfId="0" applyNumberFormat="1" applyBorder="1"/>
    <xf numFmtId="1" fontId="0" fillId="0" borderId="14" xfId="0" applyNumberFormat="1" applyBorder="1"/>
    <xf numFmtId="0" fontId="5" fillId="0" borderId="0" xfId="0" applyFont="1" applyAlignment="1">
      <alignment horizontal="center" vertical="center"/>
    </xf>
    <xf numFmtId="0" fontId="21" fillId="13" borderId="0" xfId="0" applyFont="1" applyFill="1"/>
    <xf numFmtId="1" fontId="0" fillId="0" borderId="0" xfId="0" applyNumberFormat="1" applyAlignment="1">
      <alignment horizontal="right"/>
    </xf>
    <xf numFmtId="1" fontId="7" fillId="0" borderId="21" xfId="0" applyNumberFormat="1" applyFont="1" applyBorder="1"/>
    <xf numFmtId="0" fontId="17" fillId="0" borderId="0" xfId="0" applyFont="1" applyAlignment="1">
      <alignment horizontal="right"/>
    </xf>
    <xf numFmtId="0" fontId="22" fillId="0" borderId="0" xfId="0" applyFont="1"/>
    <xf numFmtId="1" fontId="5" fillId="0" borderId="0" xfId="0" applyNumberFormat="1" applyFont="1" applyAlignment="1">
      <alignment horizontal="right"/>
    </xf>
    <xf numFmtId="0" fontId="23" fillId="3" borderId="23" xfId="0" applyFont="1" applyFill="1" applyBorder="1" applyAlignment="1">
      <alignment horizontal="left"/>
    </xf>
    <xf numFmtId="0" fontId="24" fillId="0" borderId="0" xfId="0" applyFont="1"/>
    <xf numFmtId="49" fontId="31" fillId="0" borderId="35" xfId="4" applyNumberFormat="1" applyBorder="1"/>
    <xf numFmtId="0" fontId="0" fillId="0" borderId="35" xfId="0" applyBorder="1"/>
    <xf numFmtId="0" fontId="18" fillId="0" borderId="35" xfId="0" applyFont="1" applyBorder="1"/>
    <xf numFmtId="0" fontId="17" fillId="3" borderId="36" xfId="0" applyFont="1" applyFill="1" applyBorder="1" applyAlignment="1">
      <alignment horizontal="center"/>
    </xf>
    <xf numFmtId="0" fontId="24" fillId="14" borderId="35" xfId="0" applyFont="1" applyFill="1" applyBorder="1"/>
    <xf numFmtId="0" fontId="0" fillId="14" borderId="35" xfId="0" applyFill="1" applyBorder="1"/>
    <xf numFmtId="0" fontId="17" fillId="15" borderId="23" xfId="0" applyFont="1" applyFill="1" applyBorder="1" applyAlignment="1">
      <alignment horizontal="left"/>
    </xf>
    <xf numFmtId="0" fontId="34" fillId="0" borderId="15" xfId="0" applyFont="1" applyBorder="1" applyAlignment="1" applyProtection="1">
      <alignment horizontal="left"/>
      <protection locked="0" hidden="1"/>
    </xf>
    <xf numFmtId="0" fontId="34" fillId="0" borderId="0" xfId="0" applyFont="1" applyProtection="1">
      <protection locked="0" hidden="1"/>
    </xf>
    <xf numFmtId="0" fontId="24" fillId="0" borderId="15" xfId="0" applyFont="1" applyBorder="1"/>
    <xf numFmtId="0" fontId="35" fillId="0" borderId="0" xfId="0" applyFont="1" applyProtection="1">
      <protection locked="0" hidden="1"/>
    </xf>
    <xf numFmtId="0" fontId="36" fillId="0" borderId="0" xfId="0" applyFont="1" applyProtection="1">
      <protection locked="0" hidden="1"/>
    </xf>
    <xf numFmtId="0" fontId="37" fillId="0" borderId="0" xfId="0" applyFont="1"/>
    <xf numFmtId="0" fontId="17" fillId="3" borderId="0" xfId="0" applyFont="1" applyFill="1" applyAlignment="1">
      <alignment horizontal="center"/>
    </xf>
    <xf numFmtId="0" fontId="17" fillId="3" borderId="0" xfId="0" applyFont="1" applyFill="1" applyAlignment="1">
      <alignment horizontal="left"/>
    </xf>
    <xf numFmtId="0" fontId="23" fillId="3" borderId="0" xfId="0" applyFont="1" applyFill="1" applyAlignment="1">
      <alignment horizontal="left"/>
    </xf>
    <xf numFmtId="0" fontId="0" fillId="14" borderId="0" xfId="0" applyFill="1"/>
    <xf numFmtId="0" fontId="17" fillId="3" borderId="37" xfId="0" applyFont="1" applyFill="1" applyBorder="1" applyAlignment="1">
      <alignment horizontal="center"/>
    </xf>
    <xf numFmtId="0" fontId="17" fillId="3" borderId="38" xfId="0" applyFont="1" applyFill="1" applyBorder="1" applyAlignment="1">
      <alignment horizontal="left"/>
    </xf>
    <xf numFmtId="0" fontId="23" fillId="3" borderId="38" xfId="0" applyFont="1" applyFill="1" applyBorder="1" applyAlignment="1">
      <alignment horizontal="left"/>
    </xf>
    <xf numFmtId="0" fontId="17" fillId="3" borderId="35" xfId="0" applyFont="1" applyFill="1" applyBorder="1" applyAlignment="1">
      <alignment horizontal="center"/>
    </xf>
    <xf numFmtId="0" fontId="17" fillId="3" borderId="35" xfId="0" applyFont="1" applyFill="1" applyBorder="1" applyAlignment="1">
      <alignment horizontal="left"/>
    </xf>
    <xf numFmtId="0" fontId="23" fillId="3" borderId="35" xfId="0" applyFont="1" applyFill="1" applyBorder="1" applyAlignment="1">
      <alignment horizontal="left"/>
    </xf>
    <xf numFmtId="0" fontId="18" fillId="3" borderId="35" xfId="0" applyFont="1" applyFill="1" applyBorder="1"/>
    <xf numFmtId="0" fontId="25" fillId="0" borderId="0" xfId="6"/>
    <xf numFmtId="0" fontId="25" fillId="0" borderId="35" xfId="6" applyBorder="1"/>
    <xf numFmtId="0" fontId="25" fillId="0" borderId="0" xfId="6" applyAlignment="1">
      <alignment horizontal="center"/>
    </xf>
    <xf numFmtId="0" fontId="26" fillId="0" borderId="35" xfId="6" applyFont="1" applyBorder="1" applyAlignment="1">
      <alignment horizontal="center"/>
    </xf>
    <xf numFmtId="49" fontId="26" fillId="0" borderId="35" xfId="6" applyNumberFormat="1" applyFont="1" applyBorder="1" applyAlignment="1">
      <alignment horizontal="center"/>
    </xf>
    <xf numFmtId="0" fontId="27" fillId="0" borderId="35" xfId="6" applyFont="1" applyBorder="1" applyAlignment="1">
      <alignment horizontal="center"/>
    </xf>
    <xf numFmtId="0" fontId="17" fillId="3" borderId="24" xfId="0" applyFont="1" applyFill="1" applyBorder="1" applyAlignment="1">
      <alignment horizontal="left"/>
    </xf>
    <xf numFmtId="0" fontId="17" fillId="15" borderId="24" xfId="0" applyFont="1" applyFill="1" applyBorder="1" applyAlignment="1">
      <alignment horizontal="left"/>
    </xf>
    <xf numFmtId="0" fontId="38" fillId="0" borderId="0" xfId="0" applyFont="1"/>
    <xf numFmtId="0" fontId="39" fillId="0" borderId="0" xfId="0" applyFont="1" applyAlignment="1">
      <alignment horizontal="center"/>
    </xf>
    <xf numFmtId="0" fontId="38" fillId="0" borderId="39" xfId="0" applyFont="1" applyBorder="1"/>
    <xf numFmtId="0" fontId="38" fillId="0" borderId="40" xfId="0" applyFont="1" applyBorder="1"/>
    <xf numFmtId="0" fontId="38" fillId="0" borderId="41" xfId="0" applyFont="1" applyBorder="1"/>
    <xf numFmtId="0" fontId="38" fillId="0" borderId="42" xfId="0" applyFont="1" applyBorder="1"/>
    <xf numFmtId="0" fontId="40" fillId="0" borderId="0" xfId="0" applyFont="1" applyAlignment="1">
      <alignment horizontal="center" vertical="center" wrapText="1"/>
    </xf>
    <xf numFmtId="0" fontId="38" fillId="0" borderId="43" xfId="0" applyFont="1" applyBorder="1" applyProtection="1">
      <protection locked="0"/>
    </xf>
    <xf numFmtId="0" fontId="38" fillId="0" borderId="0" xfId="0" applyFont="1" applyProtection="1">
      <protection locked="0"/>
    </xf>
    <xf numFmtId="0" fontId="38" fillId="0" borderId="0" xfId="0" applyFont="1" applyAlignment="1">
      <alignment horizontal="left"/>
    </xf>
    <xf numFmtId="0" fontId="38" fillId="0" borderId="44" xfId="0" applyFont="1" applyBorder="1" applyAlignment="1">
      <alignment horizontal="left"/>
    </xf>
    <xf numFmtId="0" fontId="38" fillId="0" borderId="45" xfId="0" applyFont="1" applyBorder="1" applyProtection="1">
      <protection hidden="1"/>
    </xf>
    <xf numFmtId="3" fontId="38" fillId="0" borderId="46" xfId="1" applyNumberFormat="1" applyFont="1" applyFill="1" applyBorder="1" applyAlignment="1" applyProtection="1">
      <alignment horizontal="center"/>
      <protection hidden="1"/>
    </xf>
    <xf numFmtId="0" fontId="38" fillId="0" borderId="0" xfId="0" applyFont="1" applyAlignment="1" applyProtection="1">
      <alignment horizontal="center"/>
      <protection locked="0"/>
    </xf>
    <xf numFmtId="2" fontId="38" fillId="0" borderId="0" xfId="0" applyNumberFormat="1" applyFont="1"/>
    <xf numFmtId="0" fontId="38" fillId="0" borderId="47" xfId="0" applyFont="1" applyBorder="1" applyProtection="1">
      <protection hidden="1"/>
    </xf>
    <xf numFmtId="0" fontId="38" fillId="0" borderId="0" xfId="0" applyFont="1" applyProtection="1">
      <protection hidden="1"/>
    </xf>
    <xf numFmtId="0" fontId="38" fillId="0" borderId="39" xfId="0" applyFont="1" applyBorder="1" applyProtection="1">
      <protection hidden="1"/>
    </xf>
    <xf numFmtId="0" fontId="38" fillId="0" borderId="44" xfId="0" applyFont="1" applyBorder="1" applyProtection="1">
      <protection hidden="1"/>
    </xf>
    <xf numFmtId="0" fontId="38" fillId="0" borderId="0" xfId="0" applyFont="1" applyAlignment="1" applyProtection="1">
      <alignment horizontal="center" vertical="center"/>
      <protection hidden="1"/>
    </xf>
    <xf numFmtId="0" fontId="38" fillId="0" borderId="25" xfId="0" applyFont="1" applyBorder="1" applyProtection="1">
      <protection hidden="1"/>
    </xf>
    <xf numFmtId="0" fontId="38" fillId="0" borderId="0" xfId="0" applyFont="1" applyAlignment="1" applyProtection="1">
      <alignment vertical="top"/>
      <protection hidden="1"/>
    </xf>
    <xf numFmtId="0" fontId="41" fillId="0" borderId="0" xfId="0" applyFont="1" applyProtection="1">
      <protection hidden="1"/>
    </xf>
    <xf numFmtId="0" fontId="42" fillId="0" borderId="48" xfId="0" applyFont="1" applyBorder="1" applyProtection="1">
      <protection hidden="1"/>
    </xf>
    <xf numFmtId="168" fontId="38" fillId="0" borderId="46" xfId="0" applyNumberFormat="1" applyFont="1" applyBorder="1" applyAlignment="1" applyProtection="1">
      <alignment horizontal="center"/>
      <protection hidden="1"/>
    </xf>
    <xf numFmtId="168" fontId="38" fillId="0" borderId="49" xfId="0" applyNumberFormat="1" applyFont="1" applyBorder="1" applyAlignment="1" applyProtection="1">
      <alignment horizontal="center"/>
      <protection hidden="1"/>
    </xf>
    <xf numFmtId="0" fontId="43" fillId="0" borderId="50" xfId="0" applyFont="1" applyBorder="1" applyAlignment="1" applyProtection="1">
      <alignment horizontal="right"/>
      <protection locked="0" hidden="1"/>
    </xf>
    <xf numFmtId="0" fontId="44" fillId="16" borderId="41" xfId="0" applyFont="1" applyFill="1" applyBorder="1" applyAlignment="1">
      <alignment vertical="center"/>
    </xf>
    <xf numFmtId="0" fontId="39" fillId="16" borderId="41" xfId="0" applyFont="1" applyFill="1" applyBorder="1" applyAlignment="1">
      <alignment horizontal="center"/>
    </xf>
    <xf numFmtId="0" fontId="39" fillId="16" borderId="42" xfId="0" applyFont="1" applyFill="1" applyBorder="1" applyAlignment="1">
      <alignment horizontal="center"/>
    </xf>
    <xf numFmtId="0" fontId="44" fillId="16" borderId="0" xfId="0" applyFont="1" applyFill="1" applyAlignment="1">
      <alignment vertical="center"/>
    </xf>
    <xf numFmtId="0" fontId="39" fillId="16" borderId="0" xfId="0" applyFont="1" applyFill="1" applyAlignment="1">
      <alignment horizontal="right"/>
    </xf>
    <xf numFmtId="0" fontId="39" fillId="16" borderId="0" xfId="0" applyFont="1" applyFill="1" applyAlignment="1">
      <alignment horizontal="center"/>
    </xf>
    <xf numFmtId="0" fontId="39" fillId="16" borderId="44" xfId="0" applyFont="1" applyFill="1" applyBorder="1" applyAlignment="1">
      <alignment horizontal="center"/>
    </xf>
    <xf numFmtId="0" fontId="38" fillId="16" borderId="43" xfId="0" applyFont="1" applyFill="1" applyBorder="1" applyProtection="1">
      <protection hidden="1"/>
    </xf>
    <xf numFmtId="0" fontId="38" fillId="16" borderId="51" xfId="0" applyFont="1" applyFill="1" applyBorder="1" applyProtection="1">
      <protection hidden="1"/>
    </xf>
    <xf numFmtId="0" fontId="38" fillId="16" borderId="52" xfId="0" applyFont="1" applyFill="1" applyBorder="1" applyAlignment="1" applyProtection="1">
      <alignment horizontal="right"/>
      <protection hidden="1"/>
    </xf>
    <xf numFmtId="0" fontId="31" fillId="0" borderId="35" xfId="4" applyBorder="1"/>
    <xf numFmtId="0" fontId="38" fillId="0" borderId="44" xfId="0" applyFont="1" applyBorder="1"/>
    <xf numFmtId="0" fontId="45" fillId="17" borderId="39" xfId="0" applyFont="1" applyFill="1" applyBorder="1" applyProtection="1">
      <protection hidden="1"/>
    </xf>
    <xf numFmtId="0" fontId="45" fillId="17" borderId="0" xfId="0" applyFont="1" applyFill="1" applyProtection="1">
      <protection hidden="1"/>
    </xf>
    <xf numFmtId="0" fontId="45" fillId="0" borderId="0" xfId="0" applyFont="1" applyAlignment="1" applyProtection="1">
      <alignment horizontal="left"/>
      <protection hidden="1"/>
    </xf>
    <xf numFmtId="0" fontId="45" fillId="0" borderId="0" xfId="0" applyFont="1" applyProtection="1">
      <protection hidden="1"/>
    </xf>
    <xf numFmtId="0" fontId="45" fillId="0" borderId="44" xfId="0" applyFont="1" applyBorder="1" applyProtection="1">
      <protection hidden="1"/>
    </xf>
    <xf numFmtId="0" fontId="45" fillId="17" borderId="53" xfId="0" applyFont="1" applyFill="1" applyBorder="1" applyProtection="1">
      <protection hidden="1"/>
    </xf>
    <xf numFmtId="0" fontId="45" fillId="0" borderId="50" xfId="0" applyFont="1" applyBorder="1" applyAlignment="1" applyProtection="1">
      <alignment horizontal="center" vertical="center"/>
      <protection locked="0"/>
    </xf>
    <xf numFmtId="0" fontId="31" fillId="0" borderId="35" xfId="4" quotePrefix="1" applyBorder="1"/>
    <xf numFmtId="0" fontId="38" fillId="0" borderId="13" xfId="0" applyFont="1" applyBorder="1"/>
    <xf numFmtId="0" fontId="38" fillId="0" borderId="11" xfId="0" applyFont="1" applyBorder="1" applyProtection="1">
      <protection locked="0"/>
    </xf>
    <xf numFmtId="0" fontId="38" fillId="0" borderId="16" xfId="0" applyFont="1" applyBorder="1"/>
    <xf numFmtId="0" fontId="38" fillId="0" borderId="15" xfId="0" applyFont="1" applyBorder="1"/>
    <xf numFmtId="9" fontId="38" fillId="0" borderId="15" xfId="0" applyNumberFormat="1" applyFont="1" applyBorder="1"/>
    <xf numFmtId="0" fontId="46" fillId="0" borderId="0" xfId="0" applyFont="1"/>
    <xf numFmtId="0" fontId="38" fillId="0" borderId="12" xfId="0" applyFont="1" applyBorder="1"/>
    <xf numFmtId="0" fontId="38" fillId="0" borderId="17" xfId="0" applyFont="1" applyBorder="1"/>
    <xf numFmtId="0" fontId="38" fillId="0" borderId="9" xfId="0" applyFont="1" applyBorder="1"/>
    <xf numFmtId="0" fontId="38" fillId="0" borderId="18" xfId="0" applyFont="1" applyBorder="1"/>
    <xf numFmtId="0" fontId="47" fillId="0" borderId="40" xfId="7" applyFont="1" applyBorder="1" applyAlignment="1" applyProtection="1">
      <alignment horizontal="center" vertical="center"/>
      <protection hidden="1"/>
    </xf>
    <xf numFmtId="0" fontId="47" fillId="0" borderId="41" xfId="7" applyFont="1" applyBorder="1" applyAlignment="1" applyProtection="1">
      <alignment horizontal="center" vertical="center"/>
      <protection hidden="1"/>
    </xf>
    <xf numFmtId="0" fontId="48" fillId="0" borderId="41" xfId="7" applyFont="1" applyBorder="1" applyAlignment="1" applyProtection="1">
      <alignment horizontal="center" vertical="center"/>
      <protection hidden="1"/>
    </xf>
    <xf numFmtId="0" fontId="48" fillId="0" borderId="42" xfId="7" applyFont="1" applyBorder="1" applyAlignment="1" applyProtection="1">
      <alignment horizontal="center" vertical="center"/>
      <protection hidden="1"/>
    </xf>
    <xf numFmtId="0" fontId="49" fillId="0" borderId="39" xfId="7" applyFont="1" applyBorder="1" applyAlignment="1" applyProtection="1">
      <alignment horizontal="left" vertical="top" wrapText="1"/>
      <protection hidden="1"/>
    </xf>
    <xf numFmtId="0" fontId="49" fillId="0" borderId="0" xfId="7" applyFont="1" applyAlignment="1" applyProtection="1">
      <alignment horizontal="left" vertical="top" wrapText="1"/>
      <protection hidden="1"/>
    </xf>
    <xf numFmtId="0" fontId="49" fillId="0" borderId="44" xfId="7" applyFont="1" applyBorder="1" applyAlignment="1" applyProtection="1">
      <alignment horizontal="left" vertical="top" wrapText="1"/>
      <protection hidden="1"/>
    </xf>
    <xf numFmtId="0" fontId="49" fillId="0" borderId="0" xfId="7" applyFont="1" applyAlignment="1" applyProtection="1">
      <alignment vertical="top" wrapText="1"/>
      <protection hidden="1"/>
    </xf>
    <xf numFmtId="0" fontId="31" fillId="0" borderId="39" xfId="7" applyBorder="1" applyProtection="1">
      <protection hidden="1"/>
    </xf>
    <xf numFmtId="0" fontId="31" fillId="0" borderId="0" xfId="7" applyProtection="1">
      <protection hidden="1"/>
    </xf>
    <xf numFmtId="0" fontId="31" fillId="0" borderId="44" xfId="7" applyBorder="1" applyProtection="1">
      <protection hidden="1"/>
    </xf>
    <xf numFmtId="0" fontId="50" fillId="0" borderId="51" xfId="7" applyFont="1" applyBorder="1" applyProtection="1">
      <protection hidden="1"/>
    </xf>
    <xf numFmtId="0" fontId="38" fillId="0" borderId="54" xfId="0" applyFont="1" applyBorder="1" applyProtection="1">
      <protection hidden="1"/>
    </xf>
    <xf numFmtId="168" fontId="38" fillId="0" borderId="55" xfId="0" applyNumberFormat="1" applyFont="1" applyBorder="1" applyAlignment="1" applyProtection="1">
      <alignment horizontal="center"/>
      <protection hidden="1"/>
    </xf>
    <xf numFmtId="3" fontId="38" fillId="0" borderId="55" xfId="1" applyNumberFormat="1" applyFont="1" applyFill="1" applyBorder="1" applyAlignment="1" applyProtection="1">
      <alignment horizontal="center"/>
      <protection hidden="1"/>
    </xf>
    <xf numFmtId="0" fontId="38" fillId="0" borderId="56" xfId="0" applyFont="1" applyBorder="1" applyProtection="1">
      <protection hidden="1"/>
    </xf>
    <xf numFmtId="168" fontId="38" fillId="0" borderId="57" xfId="0" applyNumberFormat="1" applyFont="1" applyBorder="1" applyAlignment="1" applyProtection="1">
      <alignment horizontal="center"/>
      <protection hidden="1"/>
    </xf>
    <xf numFmtId="3" fontId="38" fillId="0" borderId="57" xfId="1" applyNumberFormat="1" applyFont="1" applyFill="1" applyBorder="1" applyAlignment="1" applyProtection="1">
      <alignment horizontal="center"/>
      <protection hidden="1"/>
    </xf>
    <xf numFmtId="0" fontId="18" fillId="0" borderId="0" xfId="0" applyFont="1" applyAlignment="1">
      <alignment horizontal="left"/>
    </xf>
    <xf numFmtId="0" fontId="31" fillId="0" borderId="58" xfId="7" applyBorder="1" applyAlignment="1" applyProtection="1">
      <alignment horizontal="center" vertical="center"/>
      <protection hidden="1"/>
    </xf>
    <xf numFmtId="0" fontId="31" fillId="0" borderId="59" xfId="7" applyBorder="1" applyAlignment="1" applyProtection="1">
      <alignment horizontal="center" vertical="center"/>
      <protection hidden="1"/>
    </xf>
    <xf numFmtId="0" fontId="0" fillId="0" borderId="43" xfId="0" applyBorder="1" applyProtection="1">
      <protection hidden="1"/>
    </xf>
    <xf numFmtId="0" fontId="45" fillId="17" borderId="60" xfId="0" applyFont="1" applyFill="1" applyBorder="1" applyProtection="1">
      <protection hidden="1"/>
    </xf>
    <xf numFmtId="0" fontId="45" fillId="0" borderId="53" xfId="0" applyFont="1" applyBorder="1" applyAlignment="1" applyProtection="1">
      <alignment horizontal="center" vertical="center"/>
      <protection locked="0"/>
    </xf>
    <xf numFmtId="0" fontId="51" fillId="18" borderId="39" xfId="0" applyFont="1" applyFill="1" applyBorder="1" applyAlignment="1" applyProtection="1">
      <alignment horizontal="left"/>
      <protection hidden="1"/>
    </xf>
    <xf numFmtId="0" fontId="38" fillId="0" borderId="0" xfId="0" applyFont="1" applyAlignment="1" applyProtection="1">
      <alignment horizontal="center" vertical="top" wrapText="1"/>
      <protection hidden="1"/>
    </xf>
    <xf numFmtId="0" fontId="38" fillId="0" borderId="0" xfId="0" applyFont="1" applyAlignment="1" applyProtection="1">
      <alignment horizontal="center"/>
      <protection hidden="1"/>
    </xf>
    <xf numFmtId="0" fontId="38" fillId="0" borderId="48" xfId="0" applyFont="1" applyBorder="1" applyProtection="1">
      <protection hidden="1"/>
    </xf>
    <xf numFmtId="0" fontId="38" fillId="0" borderId="61" xfId="0" applyFont="1" applyBorder="1" applyProtection="1">
      <protection hidden="1"/>
    </xf>
    <xf numFmtId="0" fontId="52" fillId="0" borderId="0" xfId="0" applyFont="1" applyProtection="1">
      <protection hidden="1"/>
    </xf>
    <xf numFmtId="0" fontId="45" fillId="0" borderId="39" xfId="0" applyFont="1" applyBorder="1" applyProtection="1">
      <protection hidden="1"/>
    </xf>
    <xf numFmtId="0" fontId="38" fillId="18" borderId="0" xfId="0" applyFont="1" applyFill="1" applyProtection="1">
      <protection hidden="1"/>
    </xf>
    <xf numFmtId="0" fontId="53" fillId="18" borderId="0" xfId="0" applyFont="1" applyFill="1" applyProtection="1">
      <protection hidden="1"/>
    </xf>
    <xf numFmtId="0" fontId="38" fillId="0" borderId="25" xfId="0" applyFont="1" applyBorder="1" applyAlignment="1" applyProtection="1">
      <alignment horizontal="center"/>
      <protection hidden="1"/>
    </xf>
    <xf numFmtId="0" fontId="53" fillId="0" borderId="0" xfId="0" applyFont="1" applyProtection="1">
      <protection hidden="1"/>
    </xf>
    <xf numFmtId="0" fontId="38" fillId="0" borderId="44" xfId="0" applyFont="1" applyBorder="1" applyAlignment="1" applyProtection="1">
      <alignment horizontal="center"/>
      <protection hidden="1"/>
    </xf>
    <xf numFmtId="0" fontId="38" fillId="0" borderId="62" xfId="0" applyFont="1" applyBorder="1" applyAlignment="1" applyProtection="1">
      <alignment horizontal="center"/>
      <protection hidden="1"/>
    </xf>
    <xf numFmtId="3" fontId="38" fillId="0" borderId="0" xfId="1" applyNumberFormat="1" applyFont="1" applyBorder="1" applyAlignment="1" applyProtection="1">
      <protection hidden="1"/>
    </xf>
    <xf numFmtId="0" fontId="40" fillId="0" borderId="0" xfId="0" applyFont="1" applyAlignment="1" applyProtection="1">
      <alignment horizontal="center" vertical="center" wrapText="1"/>
      <protection hidden="1"/>
    </xf>
    <xf numFmtId="0" fontId="51" fillId="0" borderId="0" xfId="0" applyFont="1" applyProtection="1">
      <protection hidden="1"/>
    </xf>
    <xf numFmtId="4" fontId="38" fillId="0" borderId="80" xfId="1" applyNumberFormat="1" applyFont="1" applyFill="1" applyBorder="1" applyAlignment="1" applyProtection="1">
      <protection hidden="1"/>
    </xf>
    <xf numFmtId="0" fontId="36" fillId="0" borderId="0" xfId="0" applyFont="1"/>
    <xf numFmtId="0" fontId="60" fillId="0" borderId="0" xfId="0" applyFont="1" applyAlignment="1">
      <alignment vertical="center"/>
    </xf>
    <xf numFmtId="0" fontId="34" fillId="0" borderId="0" xfId="0" applyFont="1" applyAlignment="1">
      <alignment vertical="center"/>
    </xf>
    <xf numFmtId="0" fontId="30" fillId="0" borderId="0" xfId="0" applyFont="1"/>
    <xf numFmtId="49" fontId="3" fillId="0" borderId="35" xfId="4" applyNumberFormat="1" applyFont="1" applyBorder="1"/>
    <xf numFmtId="0" fontId="37" fillId="0" borderId="15" xfId="0" applyFont="1" applyBorder="1"/>
    <xf numFmtId="0" fontId="62" fillId="0" borderId="35" xfId="0" applyFont="1" applyBorder="1"/>
    <xf numFmtId="0" fontId="37" fillId="0" borderId="35" xfId="0" applyFont="1" applyBorder="1"/>
    <xf numFmtId="49" fontId="61" fillId="0" borderId="35" xfId="4" applyNumberFormat="1" applyFont="1" applyBorder="1"/>
    <xf numFmtId="0" fontId="62" fillId="0" borderId="15" xfId="0" applyFont="1" applyBorder="1"/>
    <xf numFmtId="0" fontId="3" fillId="0" borderId="35" xfId="4" applyFont="1" applyBorder="1"/>
    <xf numFmtId="0" fontId="4" fillId="0" borderId="21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14" borderId="35" xfId="0" applyFont="1" applyFill="1" applyBorder="1"/>
    <xf numFmtId="49" fontId="4" fillId="14" borderId="0" xfId="0" applyNumberFormat="1" applyFont="1" applyFill="1"/>
    <xf numFmtId="0" fontId="63" fillId="23" borderId="21" xfId="0" applyFont="1" applyFill="1" applyBorder="1"/>
    <xf numFmtId="0" fontId="38" fillId="0" borderId="12" xfId="0" applyFont="1" applyBorder="1" applyProtection="1">
      <protection locked="0"/>
    </xf>
    <xf numFmtId="0" fontId="63" fillId="23" borderId="9" xfId="0" applyFont="1" applyFill="1" applyBorder="1" applyProtection="1">
      <protection locked="0"/>
    </xf>
    <xf numFmtId="0" fontId="8" fillId="0" borderId="0" xfId="0" applyFont="1"/>
    <xf numFmtId="0" fontId="64" fillId="23" borderId="12" xfId="0" applyFont="1" applyFill="1" applyBorder="1"/>
    <xf numFmtId="0" fontId="38" fillId="0" borderId="27" xfId="0" applyFont="1" applyBorder="1" applyProtection="1">
      <protection locked="0"/>
    </xf>
    <xf numFmtId="0" fontId="8" fillId="0" borderId="0" xfId="0" applyFont="1" applyAlignment="1">
      <alignment wrapText="1"/>
    </xf>
    <xf numFmtId="0" fontId="65" fillId="0" borderId="0" xfId="0" applyFont="1" applyProtection="1">
      <protection locked="0" hidden="1"/>
    </xf>
    <xf numFmtId="0" fontId="65" fillId="0" borderId="0" xfId="0" applyFont="1"/>
    <xf numFmtId="0" fontId="66" fillId="0" borderId="0" xfId="0" applyFont="1"/>
    <xf numFmtId="0" fontId="5" fillId="23" borderId="0" xfId="0" applyFont="1" applyFill="1"/>
    <xf numFmtId="4" fontId="0" fillId="0" borderId="0" xfId="0" applyNumberFormat="1"/>
    <xf numFmtId="22" fontId="0" fillId="0" borderId="0" xfId="0" applyNumberFormat="1"/>
    <xf numFmtId="3" fontId="0" fillId="0" borderId="0" xfId="0" applyNumberFormat="1"/>
    <xf numFmtId="0" fontId="42" fillId="0" borderId="0" xfId="0" applyFont="1"/>
    <xf numFmtId="0" fontId="38" fillId="0" borderId="54" xfId="0" applyFont="1" applyBorder="1" applyAlignment="1" applyProtection="1">
      <alignment horizontal="left"/>
      <protection hidden="1"/>
    </xf>
    <xf numFmtId="0" fontId="38" fillId="0" borderId="56" xfId="0" applyFont="1" applyBorder="1" applyAlignment="1" applyProtection="1">
      <alignment horizontal="left"/>
      <protection hidden="1"/>
    </xf>
    <xf numFmtId="0" fontId="0" fillId="0" borderId="12" xfId="0" applyBorder="1" applyAlignment="1">
      <alignment horizontal="left"/>
    </xf>
    <xf numFmtId="0" fontId="4" fillId="3" borderId="0" xfId="0" applyFont="1" applyFill="1"/>
    <xf numFmtId="0" fontId="4" fillId="0" borderId="35" xfId="0" applyFont="1" applyBorder="1"/>
    <xf numFmtId="0" fontId="38" fillId="0" borderId="45" xfId="0" applyFont="1" applyBorder="1" applyAlignment="1" applyProtection="1">
      <alignment horizontal="left"/>
      <protection hidden="1"/>
    </xf>
    <xf numFmtId="0" fontId="67" fillId="23" borderId="2" xfId="0" applyFont="1" applyFill="1" applyBorder="1"/>
    <xf numFmtId="0" fontId="0" fillId="19" borderId="14" xfId="0" applyFill="1" applyBorder="1"/>
    <xf numFmtId="0" fontId="0" fillId="19" borderId="15" xfId="0" applyFill="1" applyBorder="1"/>
    <xf numFmtId="0" fontId="0" fillId="19" borderId="16" xfId="0" applyFill="1" applyBorder="1"/>
    <xf numFmtId="0" fontId="0" fillId="19" borderId="17" xfId="0" applyFill="1" applyBorder="1"/>
    <xf numFmtId="0" fontId="5" fillId="19" borderId="19" xfId="0" applyFont="1" applyFill="1" applyBorder="1"/>
    <xf numFmtId="0" fontId="63" fillId="23" borderId="11" xfId="0" applyFont="1" applyFill="1" applyBorder="1"/>
    <xf numFmtId="0" fontId="64" fillId="23" borderId="11" xfId="0" applyFont="1" applyFill="1" applyBorder="1"/>
    <xf numFmtId="0" fontId="0" fillId="23" borderId="0" xfId="0" applyFill="1"/>
    <xf numFmtId="0" fontId="68" fillId="0" borderId="0" xfId="0" applyFont="1"/>
    <xf numFmtId="0" fontId="8" fillId="23" borderId="0" xfId="0" applyFont="1" applyFill="1"/>
    <xf numFmtId="0" fontId="8" fillId="0" borderId="20" xfId="0" applyFont="1" applyBorder="1"/>
    <xf numFmtId="0" fontId="70" fillId="23" borderId="0" xfId="0" applyFont="1" applyFill="1" applyProtection="1">
      <protection locked="0" hidden="1"/>
    </xf>
    <xf numFmtId="49" fontId="2" fillId="0" borderId="35" xfId="4" applyNumberFormat="1" applyFont="1" applyBorder="1"/>
    <xf numFmtId="0" fontId="38" fillId="0" borderId="19" xfId="0" applyFont="1" applyBorder="1"/>
    <xf numFmtId="0" fontId="38" fillId="0" borderId="2" xfId="0" applyFont="1" applyBorder="1"/>
    <xf numFmtId="0" fontId="64" fillId="0" borderId="0" xfId="0" applyFont="1"/>
    <xf numFmtId="0" fontId="71" fillId="3" borderId="23" xfId="0" applyFont="1" applyFill="1" applyBorder="1" applyAlignment="1">
      <alignment horizontal="left"/>
    </xf>
    <xf numFmtId="0" fontId="71" fillId="15" borderId="23" xfId="0" applyFont="1" applyFill="1" applyBorder="1" applyAlignment="1">
      <alignment horizontal="left"/>
    </xf>
    <xf numFmtId="0" fontId="71" fillId="3" borderId="23" xfId="0" applyFont="1" applyFill="1" applyBorder="1" applyAlignment="1">
      <alignment horizontal="right"/>
    </xf>
    <xf numFmtId="0" fontId="71" fillId="3" borderId="38" xfId="0" applyFont="1" applyFill="1" applyBorder="1" applyAlignment="1">
      <alignment horizontal="left"/>
    </xf>
    <xf numFmtId="0" fontId="71" fillId="3" borderId="35" xfId="0" applyFont="1" applyFill="1" applyBorder="1" applyAlignment="1">
      <alignment horizontal="left"/>
    </xf>
    <xf numFmtId="0" fontId="71" fillId="3" borderId="0" xfId="0" applyFont="1" applyFill="1" applyAlignment="1">
      <alignment horizontal="left"/>
    </xf>
    <xf numFmtId="0" fontId="38" fillId="0" borderId="0" xfId="0" applyFont="1" applyAlignment="1" applyProtection="1">
      <alignment horizontal="left" indent="1"/>
      <protection hidden="1"/>
    </xf>
    <xf numFmtId="0" fontId="38" fillId="0" borderId="0" xfId="0" applyFont="1" applyAlignment="1" applyProtection="1">
      <alignment horizontal="left" indent="2"/>
      <protection hidden="1"/>
    </xf>
    <xf numFmtId="4" fontId="38" fillId="0" borderId="46" xfId="1" applyNumberFormat="1" applyFont="1" applyFill="1" applyBorder="1" applyAlignment="1" applyProtection="1">
      <protection hidden="1"/>
    </xf>
    <xf numFmtId="4" fontId="38" fillId="0" borderId="46" xfId="1" applyNumberFormat="1" applyFont="1" applyBorder="1" applyAlignment="1" applyProtection="1">
      <protection hidden="1"/>
    </xf>
    <xf numFmtId="4" fontId="38" fillId="0" borderId="55" xfId="1" applyNumberFormat="1" applyFont="1" applyFill="1" applyBorder="1" applyAlignment="1" applyProtection="1">
      <protection hidden="1"/>
    </xf>
    <xf numFmtId="4" fontId="38" fillId="0" borderId="55" xfId="1" applyNumberFormat="1" applyFont="1" applyBorder="1" applyAlignment="1" applyProtection="1">
      <protection hidden="1"/>
    </xf>
    <xf numFmtId="4" fontId="38" fillId="0" borderId="57" xfId="1" applyNumberFormat="1" applyFont="1" applyFill="1" applyBorder="1" applyAlignment="1" applyProtection="1">
      <protection hidden="1"/>
    </xf>
    <xf numFmtId="4" fontId="38" fillId="0" borderId="57" xfId="1" applyNumberFormat="1" applyFont="1" applyBorder="1" applyAlignment="1" applyProtection="1">
      <protection hidden="1"/>
    </xf>
    <xf numFmtId="0" fontId="46" fillId="17" borderId="90" xfId="0" applyFont="1" applyFill="1" applyBorder="1" applyProtection="1">
      <protection hidden="1"/>
    </xf>
    <xf numFmtId="0" fontId="46" fillId="17" borderId="79" xfId="0" applyFont="1" applyFill="1" applyBorder="1" applyProtection="1">
      <protection hidden="1"/>
    </xf>
    <xf numFmtId="0" fontId="46" fillId="17" borderId="60" xfId="0" applyFont="1" applyFill="1" applyBorder="1" applyProtection="1">
      <protection hidden="1"/>
    </xf>
    <xf numFmtId="4" fontId="38" fillId="0" borderId="0" xfId="0" applyNumberFormat="1" applyFont="1"/>
    <xf numFmtId="4" fontId="46" fillId="17" borderId="79" xfId="0" applyNumberFormat="1" applyFont="1" applyFill="1" applyBorder="1" applyProtection="1">
      <protection hidden="1"/>
    </xf>
    <xf numFmtId="0" fontId="65" fillId="0" borderId="0" xfId="0" applyFont="1" applyAlignment="1" applyProtection="1">
      <alignment wrapText="1"/>
      <protection locked="0" hidden="1"/>
    </xf>
    <xf numFmtId="49" fontId="1" fillId="0" borderId="35" xfId="4" applyNumberFormat="1" applyFont="1" applyBorder="1"/>
    <xf numFmtId="49" fontId="75" fillId="0" borderId="35" xfId="4" applyNumberFormat="1" applyFont="1" applyBorder="1"/>
    <xf numFmtId="0" fontId="22" fillId="0" borderId="35" xfId="0" applyFont="1" applyBorder="1"/>
    <xf numFmtId="0" fontId="14" fillId="0" borderId="0" xfId="0" applyFont="1" applyAlignment="1">
      <alignment horizontal="center" vertical="center" wrapText="1"/>
    </xf>
    <xf numFmtId="0" fontId="0" fillId="0" borderId="0" xfId="0"/>
    <xf numFmtId="0" fontId="7" fillId="0" borderId="0" xfId="0" applyFont="1"/>
    <xf numFmtId="0" fontId="5" fillId="0" borderId="19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2" fontId="0" fillId="0" borderId="27" xfId="0" applyNumberFormat="1" applyBorder="1"/>
    <xf numFmtId="2" fontId="0" fillId="0" borderId="21" xfId="0" applyNumberFormat="1" applyBorder="1"/>
    <xf numFmtId="0" fontId="0" fillId="0" borderId="43" xfId="0" applyBorder="1" applyProtection="1">
      <protection locked="0"/>
    </xf>
    <xf numFmtId="0" fontId="0" fillId="0" borderId="52" xfId="0" applyBorder="1" applyProtection="1">
      <protection locked="0"/>
    </xf>
    <xf numFmtId="0" fontId="5" fillId="0" borderId="64" xfId="0" applyFont="1" applyBorder="1" applyAlignment="1">
      <alignment horizontal="left" wrapText="1"/>
    </xf>
    <xf numFmtId="0" fontId="5" fillId="0" borderId="65" xfId="0" applyFont="1" applyBorder="1" applyAlignment="1">
      <alignment horizontal="left"/>
    </xf>
    <xf numFmtId="0" fontId="5" fillId="0" borderId="66" xfId="0" applyFont="1" applyBorder="1" applyAlignment="1">
      <alignment horizontal="left"/>
    </xf>
    <xf numFmtId="0" fontId="5" fillId="0" borderId="67" xfId="0" applyFont="1" applyBorder="1" applyAlignment="1">
      <alignment horizontal="left"/>
    </xf>
    <xf numFmtId="0" fontId="5" fillId="0" borderId="68" xfId="0" applyFont="1" applyBorder="1" applyAlignment="1">
      <alignment horizontal="left"/>
    </xf>
    <xf numFmtId="0" fontId="5" fillId="0" borderId="69" xfId="0" applyFont="1" applyBorder="1" applyAlignment="1">
      <alignment horizontal="left"/>
    </xf>
    <xf numFmtId="0" fontId="0" fillId="0" borderId="63" xfId="0" applyBorder="1"/>
    <xf numFmtId="0" fontId="0" fillId="0" borderId="41" xfId="0" applyBorder="1"/>
    <xf numFmtId="0" fontId="5" fillId="0" borderId="74" xfId="0" applyFont="1" applyBorder="1" applyAlignment="1">
      <alignment horizontal="left" wrapText="1"/>
    </xf>
    <xf numFmtId="0" fontId="0" fillId="0" borderId="75" xfId="0" applyBorder="1" applyAlignment="1">
      <alignment horizontal="left"/>
    </xf>
    <xf numFmtId="0" fontId="5" fillId="0" borderId="19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71" xfId="0" applyFont="1" applyBorder="1"/>
    <xf numFmtId="0" fontId="6" fillId="0" borderId="72" xfId="0" applyFont="1" applyBorder="1"/>
    <xf numFmtId="0" fontId="6" fillId="0" borderId="73" xfId="0" applyFont="1" applyBorder="1"/>
    <xf numFmtId="165" fontId="0" fillId="0" borderId="0" xfId="0" applyNumberFormat="1" applyAlignment="1">
      <alignment horizontal="center"/>
    </xf>
    <xf numFmtId="0" fontId="6" fillId="0" borderId="19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2" fontId="10" fillId="0" borderId="27" xfId="0" applyNumberFormat="1" applyFont="1" applyBorder="1"/>
    <xf numFmtId="2" fontId="10" fillId="0" borderId="21" xfId="0" applyNumberFormat="1" applyFont="1" applyBorder="1"/>
    <xf numFmtId="0" fontId="5" fillId="0" borderId="27" xfId="0" applyFont="1" applyBorder="1" applyAlignment="1">
      <alignment horizontal="center"/>
    </xf>
    <xf numFmtId="0" fontId="0" fillId="0" borderId="70" xfId="0" applyBorder="1" applyAlignment="1">
      <alignment horizontal="center"/>
    </xf>
    <xf numFmtId="0" fontId="20" fillId="0" borderId="19" xfId="0" applyFont="1" applyBorder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0" fillId="0" borderId="28" xfId="0" applyBorder="1"/>
    <xf numFmtId="0" fontId="0" fillId="0" borderId="40" xfId="0" applyBorder="1"/>
    <xf numFmtId="0" fontId="0" fillId="0" borderId="21" xfId="0" applyBorder="1"/>
    <xf numFmtId="0" fontId="19" fillId="0" borderId="0" xfId="0" applyFont="1" applyAlignment="1">
      <alignment horizontal="center"/>
    </xf>
    <xf numFmtId="0" fontId="6" fillId="0" borderId="27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/>
    </xf>
    <xf numFmtId="0" fontId="16" fillId="0" borderId="27" xfId="0" applyFont="1" applyBorder="1" applyAlignment="1">
      <alignment horizontal="center" vertical="center" wrapText="1"/>
    </xf>
    <xf numFmtId="0" fontId="16" fillId="0" borderId="21" xfId="0" applyFont="1" applyBorder="1"/>
    <xf numFmtId="0" fontId="16" fillId="0" borderId="27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5" fillId="0" borderId="76" xfId="0" applyFont="1" applyBorder="1" applyAlignment="1">
      <alignment horizontal="left" wrapText="1"/>
    </xf>
    <xf numFmtId="0" fontId="5" fillId="0" borderId="77" xfId="0" applyFont="1" applyBorder="1" applyAlignment="1">
      <alignment horizontal="left"/>
    </xf>
    <xf numFmtId="0" fontId="5" fillId="0" borderId="78" xfId="0" applyFont="1" applyBorder="1" applyAlignment="1">
      <alignment horizontal="left"/>
    </xf>
    <xf numFmtId="0" fontId="49" fillId="0" borderId="39" xfId="7" applyFont="1" applyBorder="1" applyAlignment="1" applyProtection="1">
      <alignment horizontal="left"/>
      <protection hidden="1"/>
    </xf>
    <xf numFmtId="0" fontId="49" fillId="0" borderId="0" xfId="7" applyFont="1" applyAlignment="1" applyProtection="1">
      <alignment horizontal="left"/>
      <protection hidden="1"/>
    </xf>
    <xf numFmtId="0" fontId="49" fillId="0" borderId="44" xfId="7" applyFont="1" applyBorder="1" applyAlignment="1" applyProtection="1">
      <alignment horizontal="left"/>
      <protection hidden="1"/>
    </xf>
    <xf numFmtId="0" fontId="50" fillId="20" borderId="59" xfId="7" applyFont="1" applyFill="1" applyBorder="1" applyAlignment="1" applyProtection="1">
      <alignment horizontal="left" vertical="center"/>
      <protection hidden="1"/>
    </xf>
    <xf numFmtId="0" fontId="50" fillId="20" borderId="50" xfId="7" applyFont="1" applyFill="1" applyBorder="1" applyAlignment="1" applyProtection="1">
      <alignment horizontal="left" vertical="center"/>
      <protection hidden="1"/>
    </xf>
    <xf numFmtId="0" fontId="50" fillId="21" borderId="50" xfId="7" applyFont="1" applyFill="1" applyBorder="1" applyAlignment="1" applyProtection="1">
      <alignment horizontal="left" vertical="top" wrapText="1"/>
      <protection locked="0"/>
    </xf>
    <xf numFmtId="0" fontId="50" fillId="21" borderId="62" xfId="7" applyFont="1" applyFill="1" applyBorder="1" applyAlignment="1" applyProtection="1">
      <alignment horizontal="left" vertical="top" wrapText="1"/>
      <protection locked="0"/>
    </xf>
    <xf numFmtId="0" fontId="50" fillId="20" borderId="47" xfId="7" applyFont="1" applyFill="1" applyBorder="1" applyAlignment="1" applyProtection="1">
      <alignment horizontal="left" vertical="center" wrapText="1"/>
      <protection hidden="1"/>
    </xf>
    <xf numFmtId="0" fontId="50" fillId="20" borderId="80" xfId="7" applyFont="1" applyFill="1" applyBorder="1" applyAlignment="1" applyProtection="1">
      <alignment horizontal="left" vertical="center" wrapText="1"/>
      <protection hidden="1"/>
    </xf>
    <xf numFmtId="0" fontId="50" fillId="21" borderId="80" xfId="7" applyFont="1" applyFill="1" applyBorder="1" applyAlignment="1" applyProtection="1">
      <alignment horizontal="left" vertical="top" wrapText="1"/>
      <protection locked="0"/>
    </xf>
    <xf numFmtId="0" fontId="50" fillId="21" borderId="81" xfId="7" applyFont="1" applyFill="1" applyBorder="1" applyAlignment="1" applyProtection="1">
      <alignment horizontal="left" vertical="top" wrapText="1"/>
      <protection locked="0"/>
    </xf>
    <xf numFmtId="0" fontId="50" fillId="20" borderId="58" xfId="7" applyFont="1" applyFill="1" applyBorder="1" applyAlignment="1" applyProtection="1">
      <alignment horizontal="left" vertical="center" wrapText="1"/>
      <protection hidden="1"/>
    </xf>
    <xf numFmtId="0" fontId="50" fillId="20" borderId="82" xfId="7" applyFont="1" applyFill="1" applyBorder="1" applyAlignment="1" applyProtection="1">
      <alignment horizontal="left" vertical="center" wrapText="1"/>
      <protection hidden="1"/>
    </xf>
    <xf numFmtId="0" fontId="50" fillId="21" borderId="82" xfId="7" applyFont="1" applyFill="1" applyBorder="1" applyAlignment="1" applyProtection="1">
      <alignment horizontal="left" vertical="top" wrapText="1"/>
      <protection locked="0"/>
    </xf>
    <xf numFmtId="0" fontId="50" fillId="21" borderId="83" xfId="7" applyFont="1" applyFill="1" applyBorder="1" applyAlignment="1" applyProtection="1">
      <alignment horizontal="left" vertical="top" wrapText="1"/>
      <protection locked="0"/>
    </xf>
    <xf numFmtId="0" fontId="50" fillId="20" borderId="59" xfId="7" applyFont="1" applyFill="1" applyBorder="1" applyAlignment="1" applyProtection="1">
      <alignment horizontal="left" vertical="center" wrapText="1"/>
      <protection hidden="1"/>
    </xf>
    <xf numFmtId="0" fontId="50" fillId="20" borderId="50" xfId="7" applyFont="1" applyFill="1" applyBorder="1" applyAlignment="1" applyProtection="1">
      <alignment horizontal="left" vertical="center" wrapText="1"/>
      <protection hidden="1"/>
    </xf>
    <xf numFmtId="0" fontId="73" fillId="17" borderId="40" xfId="2" applyFont="1" applyFill="1" applyBorder="1" applyAlignment="1" applyProtection="1">
      <alignment horizontal="center" vertical="center" wrapText="1"/>
      <protection locked="0" hidden="1"/>
    </xf>
    <xf numFmtId="0" fontId="73" fillId="17" borderId="41" xfId="2" applyFont="1" applyFill="1" applyBorder="1" applyAlignment="1" applyProtection="1">
      <alignment horizontal="center" vertical="center" wrapText="1"/>
      <protection locked="0" hidden="1"/>
    </xf>
    <xf numFmtId="0" fontId="73" fillId="17" borderId="42" xfId="2" applyFont="1" applyFill="1" applyBorder="1" applyAlignment="1" applyProtection="1">
      <alignment horizontal="center" vertical="center" wrapText="1"/>
      <protection locked="0" hidden="1"/>
    </xf>
    <xf numFmtId="0" fontId="73" fillId="17" borderId="39" xfId="2" applyFont="1" applyFill="1" applyBorder="1" applyAlignment="1" applyProtection="1">
      <alignment horizontal="center" vertical="center" wrapText="1"/>
      <protection locked="0" hidden="1"/>
    </xf>
    <xf numFmtId="0" fontId="73" fillId="17" borderId="0" xfId="2" applyFont="1" applyFill="1" applyBorder="1" applyAlignment="1" applyProtection="1">
      <alignment horizontal="center" vertical="center" wrapText="1"/>
      <protection locked="0" hidden="1"/>
    </xf>
    <xf numFmtId="0" fontId="73" fillId="17" borderId="44" xfId="2" applyFont="1" applyFill="1" applyBorder="1" applyAlignment="1" applyProtection="1">
      <alignment horizontal="center" vertical="center" wrapText="1"/>
      <protection locked="0" hidden="1"/>
    </xf>
    <xf numFmtId="0" fontId="73" fillId="17" borderId="48" xfId="2" applyFont="1" applyFill="1" applyBorder="1" applyAlignment="1" applyProtection="1">
      <alignment horizontal="center" vertical="center" wrapText="1"/>
      <protection locked="0" hidden="1"/>
    </xf>
    <xf numFmtId="0" fontId="73" fillId="17" borderId="25" xfId="2" applyFont="1" applyFill="1" applyBorder="1" applyAlignment="1" applyProtection="1">
      <alignment horizontal="center" vertical="center" wrapText="1"/>
      <protection locked="0" hidden="1"/>
    </xf>
    <xf numFmtId="0" fontId="73" fillId="17" borderId="61" xfId="2" applyFont="1" applyFill="1" applyBorder="1" applyAlignment="1" applyProtection="1">
      <alignment horizontal="center" vertical="center" wrapText="1"/>
      <protection locked="0" hidden="1"/>
    </xf>
    <xf numFmtId="0" fontId="38" fillId="0" borderId="43" xfId="5" applyFont="1" applyBorder="1" applyAlignment="1" applyProtection="1">
      <alignment horizontal="right"/>
      <protection hidden="1"/>
    </xf>
    <xf numFmtId="0" fontId="38" fillId="0" borderId="51" xfId="5" applyFont="1" applyBorder="1" applyAlignment="1" applyProtection="1">
      <alignment horizontal="right"/>
      <protection hidden="1"/>
    </xf>
    <xf numFmtId="0" fontId="38" fillId="0" borderId="52" xfId="5" applyFont="1" applyBorder="1" applyAlignment="1" applyProtection="1">
      <alignment horizontal="right"/>
      <protection hidden="1"/>
    </xf>
    <xf numFmtId="0" fontId="47" fillId="22" borderId="39" xfId="7" applyFont="1" applyFill="1" applyBorder="1" applyAlignment="1" applyProtection="1">
      <alignment horizontal="center" vertical="center"/>
      <protection hidden="1"/>
    </xf>
    <xf numFmtId="0" fontId="47" fillId="22" borderId="0" xfId="7" applyFont="1" applyFill="1" applyAlignment="1" applyProtection="1">
      <alignment horizontal="center" vertical="center"/>
      <protection hidden="1"/>
    </xf>
    <xf numFmtId="0" fontId="48" fillId="22" borderId="0" xfId="7" applyFont="1" applyFill="1" applyAlignment="1" applyProtection="1">
      <alignment horizontal="center" vertical="center"/>
      <protection hidden="1"/>
    </xf>
    <xf numFmtId="0" fontId="48" fillId="22" borderId="44" xfId="7" applyFont="1" applyFill="1" applyBorder="1" applyAlignment="1" applyProtection="1">
      <alignment horizontal="center" vertical="center"/>
      <protection hidden="1"/>
    </xf>
    <xf numFmtId="0" fontId="48" fillId="22" borderId="25" xfId="7" applyFont="1" applyFill="1" applyBorder="1" applyAlignment="1" applyProtection="1">
      <alignment horizontal="center" vertical="center"/>
      <protection hidden="1"/>
    </xf>
    <xf numFmtId="0" fontId="48" fillId="22" borderId="61" xfId="7" applyFont="1" applyFill="1" applyBorder="1" applyAlignment="1" applyProtection="1">
      <alignment horizontal="center" vertical="center"/>
      <protection hidden="1"/>
    </xf>
    <xf numFmtId="0" fontId="31" fillId="0" borderId="39" xfId="7" applyBorder="1" applyAlignment="1" applyProtection="1">
      <alignment horizontal="center"/>
      <protection hidden="1"/>
    </xf>
    <xf numFmtId="0" fontId="31" fillId="0" borderId="0" xfId="7" applyAlignment="1" applyProtection="1">
      <alignment horizontal="center"/>
      <protection hidden="1"/>
    </xf>
    <xf numFmtId="0" fontId="31" fillId="0" borderId="44" xfId="7" applyBorder="1" applyAlignment="1" applyProtection="1">
      <alignment horizontal="center"/>
      <protection hidden="1"/>
    </xf>
    <xf numFmtId="0" fontId="54" fillId="0" borderId="39" xfId="7" applyFont="1" applyBorder="1" applyAlignment="1" applyProtection="1">
      <alignment horizontal="left"/>
      <protection hidden="1"/>
    </xf>
    <xf numFmtId="0" fontId="54" fillId="0" borderId="0" xfId="7" applyFont="1" applyAlignment="1" applyProtection="1">
      <alignment horizontal="left"/>
      <protection hidden="1"/>
    </xf>
    <xf numFmtId="0" fontId="54" fillId="0" borderId="44" xfId="7" applyFont="1" applyBorder="1" applyAlignment="1" applyProtection="1">
      <alignment horizontal="left"/>
      <protection hidden="1"/>
    </xf>
    <xf numFmtId="0" fontId="55" fillId="0" borderId="51" xfId="2" applyFont="1" applyBorder="1" applyAlignment="1" applyProtection="1">
      <alignment horizontal="right" vertical="center"/>
      <protection hidden="1"/>
    </xf>
    <xf numFmtId="0" fontId="31" fillId="0" borderId="51" xfId="7" applyBorder="1" applyAlignment="1" applyProtection="1">
      <alignment horizontal="right" vertical="center"/>
      <protection hidden="1"/>
    </xf>
    <xf numFmtId="0" fontId="31" fillId="0" borderId="52" xfId="7" applyBorder="1" applyAlignment="1" applyProtection="1">
      <alignment horizontal="right" vertical="center"/>
      <protection hidden="1"/>
    </xf>
    <xf numFmtId="0" fontId="31" fillId="0" borderId="50" xfId="7" applyBorder="1" applyAlignment="1" applyProtection="1">
      <alignment horizontal="left" vertical="center" wrapText="1"/>
      <protection hidden="1"/>
    </xf>
    <xf numFmtId="0" fontId="31" fillId="0" borderId="62" xfId="7" applyBorder="1" applyAlignment="1" applyProtection="1">
      <alignment horizontal="left" vertical="center" wrapText="1"/>
      <protection hidden="1"/>
    </xf>
    <xf numFmtId="0" fontId="31" fillId="0" borderId="53" xfId="7" applyBorder="1" applyAlignment="1" applyProtection="1">
      <alignment horizontal="left" vertical="center" wrapText="1"/>
      <protection hidden="1"/>
    </xf>
    <xf numFmtId="0" fontId="31" fillId="0" borderId="79" xfId="7" applyBorder="1" applyAlignment="1" applyProtection="1">
      <alignment horizontal="left" vertical="center" wrapText="1"/>
      <protection hidden="1"/>
    </xf>
    <xf numFmtId="0" fontId="31" fillId="0" borderId="60" xfId="7" applyBorder="1" applyAlignment="1" applyProtection="1">
      <alignment horizontal="left" vertical="center" wrapText="1"/>
      <protection hidden="1"/>
    </xf>
    <xf numFmtId="0" fontId="31" fillId="0" borderId="82" xfId="7" applyBorder="1" applyAlignment="1" applyProtection="1">
      <alignment wrapText="1"/>
      <protection hidden="1"/>
    </xf>
    <xf numFmtId="0" fontId="31" fillId="0" borderId="83" xfId="7" applyBorder="1" applyAlignment="1" applyProtection="1">
      <alignment wrapText="1"/>
      <protection hidden="1"/>
    </xf>
    <xf numFmtId="0" fontId="69" fillId="0" borderId="43" xfId="0" applyFont="1" applyBorder="1" applyAlignment="1" applyProtection="1">
      <alignment horizontal="center" vertical="center" wrapText="1"/>
      <protection hidden="1"/>
    </xf>
    <xf numFmtId="0" fontId="69" fillId="0" borderId="51" xfId="0" applyFont="1" applyBorder="1" applyAlignment="1" applyProtection="1">
      <alignment horizontal="center" vertical="center" wrapText="1"/>
      <protection hidden="1"/>
    </xf>
    <xf numFmtId="0" fontId="69" fillId="0" borderId="52" xfId="0" applyFont="1" applyBorder="1" applyAlignment="1" applyProtection="1">
      <alignment horizontal="center" vertical="center" wrapText="1"/>
      <protection hidden="1"/>
    </xf>
    <xf numFmtId="0" fontId="51" fillId="18" borderId="39" xfId="0" applyFont="1" applyFill="1" applyBorder="1" applyAlignment="1" applyProtection="1">
      <alignment horizontal="left" vertical="top"/>
      <protection hidden="1"/>
    </xf>
    <xf numFmtId="0" fontId="51" fillId="18" borderId="0" xfId="0" applyFont="1" applyFill="1" applyAlignment="1" applyProtection="1">
      <alignment horizontal="left" vertical="top"/>
      <protection hidden="1"/>
    </xf>
    <xf numFmtId="0" fontId="45" fillId="17" borderId="0" xfId="0" applyFont="1" applyFill="1" applyAlignment="1" applyProtection="1">
      <alignment horizontal="left" vertical="center"/>
      <protection hidden="1"/>
    </xf>
    <xf numFmtId="0" fontId="45" fillId="18" borderId="0" xfId="0" applyFont="1" applyFill="1" applyAlignment="1" applyProtection="1">
      <alignment horizontal="center"/>
      <protection hidden="1"/>
    </xf>
    <xf numFmtId="0" fontId="51" fillId="18" borderId="0" xfId="0" applyFont="1" applyFill="1" applyAlignment="1" applyProtection="1">
      <alignment horizontal="left"/>
      <protection hidden="1"/>
    </xf>
    <xf numFmtId="0" fontId="45" fillId="17" borderId="53" xfId="0" applyFont="1" applyFill="1" applyBorder="1" applyAlignment="1" applyProtection="1">
      <alignment horizontal="center"/>
      <protection hidden="1"/>
    </xf>
    <xf numFmtId="0" fontId="45" fillId="17" borderId="79" xfId="0" applyFont="1" applyFill="1" applyBorder="1" applyAlignment="1" applyProtection="1">
      <alignment horizontal="center"/>
      <protection hidden="1"/>
    </xf>
    <xf numFmtId="0" fontId="45" fillId="17" borderId="84" xfId="0" applyFont="1" applyFill="1" applyBorder="1" applyAlignment="1" applyProtection="1">
      <alignment horizontal="center"/>
      <protection hidden="1"/>
    </xf>
    <xf numFmtId="0" fontId="43" fillId="0" borderId="0" xfId="1" applyNumberFormat="1" applyFont="1" applyBorder="1" applyAlignment="1" applyProtection="1">
      <alignment horizontal="center"/>
      <protection locked="0" hidden="1"/>
    </xf>
    <xf numFmtId="0" fontId="45" fillId="17" borderId="53" xfId="1" applyNumberFormat="1" applyFont="1" applyFill="1" applyBorder="1" applyAlignment="1" applyProtection="1">
      <alignment horizontal="center"/>
      <protection hidden="1"/>
    </xf>
    <xf numFmtId="0" fontId="45" fillId="17" borderId="60" xfId="1" applyNumberFormat="1" applyFont="1" applyFill="1" applyBorder="1" applyAlignment="1" applyProtection="1">
      <alignment horizontal="center"/>
      <protection hidden="1"/>
    </xf>
    <xf numFmtId="0" fontId="38" fillId="0" borderId="85" xfId="0" applyFont="1" applyBorder="1" applyAlignment="1" applyProtection="1">
      <alignment horizontal="left"/>
      <protection hidden="1"/>
    </xf>
    <xf numFmtId="0" fontId="38" fillId="0" borderId="0" xfId="0" applyFont="1" applyAlignment="1" applyProtection="1">
      <alignment horizontal="left"/>
      <protection hidden="1"/>
    </xf>
    <xf numFmtId="0" fontId="38" fillId="0" borderId="86" xfId="0" applyFont="1" applyBorder="1" applyAlignment="1" applyProtection="1">
      <alignment horizontal="left"/>
      <protection hidden="1"/>
    </xf>
    <xf numFmtId="4" fontId="38" fillId="0" borderId="57" xfId="1" applyNumberFormat="1" applyFont="1" applyFill="1" applyBorder="1" applyAlignment="1" applyProtection="1">
      <protection hidden="1"/>
    </xf>
    <xf numFmtId="4" fontId="38" fillId="0" borderId="57" xfId="1" applyNumberFormat="1" applyFont="1" applyBorder="1" applyAlignment="1" applyProtection="1">
      <protection hidden="1"/>
    </xf>
    <xf numFmtId="4" fontId="38" fillId="0" borderId="55" xfId="1" applyNumberFormat="1" applyFont="1" applyBorder="1" applyAlignment="1" applyProtection="1">
      <protection hidden="1"/>
    </xf>
    <xf numFmtId="168" fontId="38" fillId="0" borderId="46" xfId="0" applyNumberFormat="1" applyFont="1" applyBorder="1" applyAlignment="1" applyProtection="1">
      <alignment horizontal="right"/>
      <protection hidden="1"/>
    </xf>
    <xf numFmtId="0" fontId="38" fillId="0" borderId="46" xfId="0" applyFont="1" applyBorder="1" applyAlignment="1" applyProtection="1">
      <alignment horizontal="left"/>
      <protection hidden="1"/>
    </xf>
    <xf numFmtId="0" fontId="38" fillId="0" borderId="0" xfId="0" applyFont="1" applyAlignment="1">
      <alignment horizontal="left"/>
    </xf>
    <xf numFmtId="0" fontId="38" fillId="0" borderId="0" xfId="0" applyFont="1"/>
    <xf numFmtId="4" fontId="38" fillId="0" borderId="46" xfId="1" applyNumberFormat="1" applyFont="1" applyFill="1" applyBorder="1" applyAlignment="1" applyProtection="1">
      <protection hidden="1"/>
    </xf>
    <xf numFmtId="4" fontId="38" fillId="0" borderId="46" xfId="1" applyNumberFormat="1" applyFont="1" applyBorder="1" applyAlignment="1" applyProtection="1">
      <protection hidden="1"/>
    </xf>
    <xf numFmtId="4" fontId="38" fillId="0" borderId="46" xfId="1" applyNumberFormat="1" applyFont="1" applyBorder="1" applyAlignment="1" applyProtection="1">
      <alignment horizontal="right"/>
      <protection hidden="1"/>
    </xf>
    <xf numFmtId="4" fontId="38" fillId="0" borderId="55" xfId="1" applyNumberFormat="1" applyFont="1" applyFill="1" applyBorder="1" applyAlignment="1" applyProtection="1">
      <protection hidden="1"/>
    </xf>
    <xf numFmtId="168" fontId="38" fillId="0" borderId="57" xfId="0" applyNumberFormat="1" applyFont="1" applyBorder="1" applyProtection="1">
      <protection hidden="1"/>
    </xf>
    <xf numFmtId="168" fontId="38" fillId="0" borderId="46" xfId="0" applyNumberFormat="1" applyFont="1" applyBorder="1" applyProtection="1">
      <protection hidden="1"/>
    </xf>
    <xf numFmtId="0" fontId="56" fillId="16" borderId="40" xfId="0" applyFont="1" applyFill="1" applyBorder="1" applyAlignment="1" applyProtection="1">
      <alignment horizontal="center" vertical="center"/>
      <protection hidden="1"/>
    </xf>
    <xf numFmtId="0" fontId="56" fillId="16" borderId="41" xfId="0" applyFont="1" applyFill="1" applyBorder="1" applyAlignment="1" applyProtection="1">
      <alignment horizontal="center" vertical="center"/>
      <protection hidden="1"/>
    </xf>
    <xf numFmtId="0" fontId="56" fillId="16" borderId="39" xfId="0" applyFont="1" applyFill="1" applyBorder="1" applyAlignment="1" applyProtection="1">
      <alignment horizontal="center" vertical="center"/>
      <protection hidden="1"/>
    </xf>
    <xf numFmtId="0" fontId="56" fillId="16" borderId="0" xfId="0" applyFont="1" applyFill="1" applyAlignment="1" applyProtection="1">
      <alignment horizontal="center" vertical="center"/>
      <protection hidden="1"/>
    </xf>
    <xf numFmtId="0" fontId="51" fillId="18" borderId="44" xfId="0" applyFont="1" applyFill="1" applyBorder="1" applyAlignment="1" applyProtection="1">
      <alignment horizontal="left"/>
      <protection hidden="1"/>
    </xf>
    <xf numFmtId="168" fontId="38" fillId="0" borderId="55" xfId="0" applyNumberFormat="1" applyFont="1" applyBorder="1" applyProtection="1">
      <protection hidden="1"/>
    </xf>
    <xf numFmtId="0" fontId="35" fillId="18" borderId="0" xfId="0" applyFont="1" applyFill="1" applyAlignment="1" applyProtection="1">
      <alignment horizontal="center"/>
      <protection hidden="1"/>
    </xf>
    <xf numFmtId="0" fontId="35" fillId="18" borderId="44" xfId="0" applyFont="1" applyFill="1" applyBorder="1" applyAlignment="1" applyProtection="1">
      <alignment horizontal="center"/>
      <protection hidden="1"/>
    </xf>
    <xf numFmtId="0" fontId="45" fillId="18" borderId="44" xfId="0" applyFont="1" applyFill="1" applyBorder="1" applyAlignment="1" applyProtection="1">
      <alignment horizontal="center"/>
      <protection hidden="1"/>
    </xf>
    <xf numFmtId="0" fontId="45" fillId="17" borderId="39" xfId="0" applyFont="1" applyFill="1" applyBorder="1" applyAlignment="1" applyProtection="1">
      <alignment horizontal="left"/>
      <protection hidden="1"/>
    </xf>
    <xf numFmtId="0" fontId="45" fillId="17" borderId="0" xfId="0" applyFont="1" applyFill="1" applyAlignment="1" applyProtection="1">
      <alignment horizontal="left"/>
      <protection hidden="1"/>
    </xf>
    <xf numFmtId="0" fontId="51" fillId="0" borderId="0" xfId="0" applyFont="1"/>
    <xf numFmtId="0" fontId="38" fillId="0" borderId="44" xfId="0" applyFont="1" applyBorder="1"/>
    <xf numFmtId="0" fontId="46" fillId="18" borderId="94" xfId="0" applyFont="1" applyFill="1" applyBorder="1" applyAlignment="1" applyProtection="1">
      <alignment horizontal="center" vertical="center" wrapText="1"/>
      <protection hidden="1"/>
    </xf>
    <xf numFmtId="0" fontId="38" fillId="18" borderId="82" xfId="0" applyFont="1" applyFill="1" applyBorder="1" applyAlignment="1" applyProtection="1">
      <alignment horizontal="center" vertical="center"/>
      <protection hidden="1"/>
    </xf>
    <xf numFmtId="0" fontId="46" fillId="18" borderId="95" xfId="0" applyFont="1" applyFill="1" applyBorder="1" applyAlignment="1" applyProtection="1">
      <alignment horizontal="center" vertical="center"/>
      <protection hidden="1"/>
    </xf>
    <xf numFmtId="0" fontId="38" fillId="18" borderId="58" xfId="0" applyFont="1" applyFill="1" applyBorder="1" applyAlignment="1" applyProtection="1">
      <alignment horizontal="center" vertical="center"/>
      <protection hidden="1"/>
    </xf>
    <xf numFmtId="0" fontId="46" fillId="18" borderId="94" xfId="0" applyFont="1" applyFill="1" applyBorder="1" applyAlignment="1" applyProtection="1">
      <alignment horizontal="center" vertical="center"/>
      <protection hidden="1"/>
    </xf>
    <xf numFmtId="0" fontId="38" fillId="18" borderId="94" xfId="0" applyFont="1" applyFill="1" applyBorder="1" applyAlignment="1" applyProtection="1">
      <alignment horizontal="center" vertical="center"/>
      <protection hidden="1"/>
    </xf>
    <xf numFmtId="0" fontId="38" fillId="18" borderId="94" xfId="0" applyFont="1" applyFill="1" applyBorder="1" applyAlignment="1" applyProtection="1">
      <alignment horizontal="center"/>
      <protection hidden="1"/>
    </xf>
    <xf numFmtId="0" fontId="38" fillId="18" borderId="82" xfId="0" applyFont="1" applyFill="1" applyBorder="1" applyAlignment="1" applyProtection="1">
      <alignment horizontal="center"/>
      <protection hidden="1"/>
    </xf>
    <xf numFmtId="0" fontId="51" fillId="0" borderId="0" xfId="0" applyFont="1" applyProtection="1">
      <protection locked="0"/>
    </xf>
    <xf numFmtId="0" fontId="51" fillId="0" borderId="0" xfId="0" applyFont="1" applyProtection="1">
      <protection hidden="1"/>
    </xf>
    <xf numFmtId="0" fontId="38" fillId="0" borderId="0" xfId="0" applyFont="1" applyProtection="1">
      <protection hidden="1"/>
    </xf>
    <xf numFmtId="0" fontId="38" fillId="0" borderId="44" xfId="0" applyFont="1" applyBorder="1" applyProtection="1">
      <protection hidden="1"/>
    </xf>
    <xf numFmtId="0" fontId="46" fillId="18" borderId="96" xfId="0" applyFont="1" applyFill="1" applyBorder="1" applyAlignment="1" applyProtection="1">
      <alignment horizontal="center" vertical="center"/>
      <protection hidden="1"/>
    </xf>
    <xf numFmtId="0" fontId="46" fillId="18" borderId="83" xfId="0" applyFont="1" applyFill="1" applyBorder="1" applyAlignment="1" applyProtection="1">
      <alignment horizontal="center" vertical="center"/>
      <protection hidden="1"/>
    </xf>
    <xf numFmtId="0" fontId="46" fillId="18" borderId="82" xfId="0" applyFont="1" applyFill="1" applyBorder="1" applyAlignment="1" applyProtection="1">
      <alignment horizontal="center" vertical="center" wrapText="1"/>
      <protection hidden="1"/>
    </xf>
    <xf numFmtId="0" fontId="32" fillId="18" borderId="39" xfId="2" applyFill="1" applyBorder="1" applyAlignment="1" applyProtection="1">
      <alignment horizontal="left"/>
      <protection locked="0" hidden="1"/>
    </xf>
    <xf numFmtId="0" fontId="32" fillId="18" borderId="0" xfId="2" applyFill="1" applyBorder="1" applyAlignment="1" applyProtection="1">
      <alignment horizontal="left"/>
      <protection locked="0" hidden="1"/>
    </xf>
    <xf numFmtId="0" fontId="38" fillId="0" borderId="87" xfId="0" applyFont="1" applyBorder="1" applyAlignment="1" applyProtection="1">
      <alignment horizontal="left"/>
      <protection hidden="1"/>
    </xf>
    <xf numFmtId="0" fontId="38" fillId="0" borderId="88" xfId="0" applyFont="1" applyBorder="1" applyAlignment="1" applyProtection="1">
      <alignment horizontal="left"/>
      <protection hidden="1"/>
    </xf>
    <xf numFmtId="0" fontId="38" fillId="0" borderId="89" xfId="0" applyFont="1" applyBorder="1" applyAlignment="1" applyProtection="1">
      <alignment horizontal="left"/>
      <protection hidden="1"/>
    </xf>
    <xf numFmtId="0" fontId="38" fillId="0" borderId="55" xfId="0" applyFont="1" applyBorder="1" applyProtection="1">
      <protection hidden="1"/>
    </xf>
    <xf numFmtId="169" fontId="52" fillId="16" borderId="43" xfId="13" applyNumberFormat="1" applyFont="1" applyFill="1" applyBorder="1" applyAlignment="1" applyProtection="1">
      <alignment horizontal="right" vertical="center"/>
      <protection hidden="1"/>
    </xf>
    <xf numFmtId="169" fontId="52" fillId="16" borderId="51" xfId="13" applyNumberFormat="1" applyFont="1" applyFill="1" applyBorder="1" applyAlignment="1" applyProtection="1">
      <alignment horizontal="right" vertical="center"/>
      <protection hidden="1"/>
    </xf>
    <xf numFmtId="169" fontId="52" fillId="16" borderId="52" xfId="13" applyNumberFormat="1" applyFont="1" applyFill="1" applyBorder="1" applyAlignment="1" applyProtection="1">
      <alignment horizontal="right" vertical="center"/>
      <protection hidden="1"/>
    </xf>
    <xf numFmtId="0" fontId="51" fillId="0" borderId="0" xfId="0" applyFont="1" applyAlignment="1" applyProtection="1">
      <alignment horizontal="center"/>
      <protection hidden="1"/>
    </xf>
    <xf numFmtId="0" fontId="38" fillId="0" borderId="0" xfId="0" applyFont="1" applyAlignment="1" applyProtection="1">
      <alignment horizontal="center"/>
      <protection hidden="1"/>
    </xf>
    <xf numFmtId="0" fontId="38" fillId="0" borderId="46" xfId="0" applyFont="1" applyBorder="1" applyProtection="1">
      <protection hidden="1"/>
    </xf>
    <xf numFmtId="0" fontId="38" fillId="0" borderId="57" xfId="0" applyFont="1" applyBorder="1" applyProtection="1">
      <protection hidden="1"/>
    </xf>
    <xf numFmtId="0" fontId="46" fillId="17" borderId="90" xfId="0" applyFont="1" applyFill="1" applyBorder="1" applyAlignment="1" applyProtection="1">
      <alignment horizontal="left"/>
      <protection hidden="1"/>
    </xf>
    <xf numFmtId="0" fontId="46" fillId="17" borderId="79" xfId="0" applyFont="1" applyFill="1" applyBorder="1" applyAlignment="1" applyProtection="1">
      <alignment horizontal="left"/>
      <protection hidden="1"/>
    </xf>
    <xf numFmtId="0" fontId="46" fillId="17" borderId="60" xfId="0" applyFont="1" applyFill="1" applyBorder="1" applyAlignment="1" applyProtection="1">
      <alignment horizontal="left"/>
      <protection hidden="1"/>
    </xf>
    <xf numFmtId="0" fontId="46" fillId="18" borderId="97" xfId="0" applyFont="1" applyFill="1" applyBorder="1" applyAlignment="1" applyProtection="1">
      <alignment horizontal="center" vertical="center"/>
      <protection hidden="1"/>
    </xf>
    <xf numFmtId="0" fontId="46" fillId="18" borderId="57" xfId="0" applyFont="1" applyFill="1" applyBorder="1" applyAlignment="1" applyProtection="1">
      <alignment horizontal="center" vertical="center"/>
      <protection hidden="1"/>
    </xf>
    <xf numFmtId="0" fontId="45" fillId="16" borderId="43" xfId="0" applyFont="1" applyFill="1" applyBorder="1" applyAlignment="1" applyProtection="1">
      <alignment horizontal="left" vertical="center"/>
      <protection hidden="1"/>
    </xf>
    <xf numFmtId="0" fontId="45" fillId="16" borderId="51" xfId="0" applyFont="1" applyFill="1" applyBorder="1" applyAlignment="1" applyProtection="1">
      <alignment horizontal="left" vertical="center"/>
      <protection hidden="1"/>
    </xf>
    <xf numFmtId="0" fontId="38" fillId="0" borderId="57" xfId="0" applyFont="1" applyBorder="1" applyAlignment="1" applyProtection="1">
      <alignment horizontal="left"/>
      <protection hidden="1"/>
    </xf>
    <xf numFmtId="167" fontId="38" fillId="0" borderId="57" xfId="1" applyNumberFormat="1" applyFont="1" applyFill="1" applyBorder="1" applyAlignment="1" applyProtection="1">
      <protection hidden="1"/>
    </xf>
    <xf numFmtId="167" fontId="38" fillId="0" borderId="57" xfId="1" applyNumberFormat="1" applyFont="1" applyBorder="1" applyAlignment="1" applyProtection="1">
      <protection hidden="1"/>
    </xf>
    <xf numFmtId="0" fontId="38" fillId="0" borderId="91" xfId="0" applyFont="1" applyBorder="1" applyAlignment="1" applyProtection="1">
      <alignment horizontal="right"/>
      <protection hidden="1"/>
    </xf>
    <xf numFmtId="0" fontId="38" fillId="0" borderId="93" xfId="0" applyFont="1" applyBorder="1" applyAlignment="1" applyProtection="1">
      <alignment horizontal="right"/>
      <protection hidden="1"/>
    </xf>
    <xf numFmtId="0" fontId="43" fillId="0" borderId="41" xfId="0" applyFont="1" applyBorder="1" applyAlignment="1" applyProtection="1">
      <alignment horizontal="left" vertical="top" wrapText="1"/>
      <protection locked="0"/>
    </xf>
    <xf numFmtId="0" fontId="43" fillId="0" borderId="42" xfId="0" applyFont="1" applyBorder="1" applyAlignment="1" applyProtection="1">
      <alignment horizontal="left" vertical="top" wrapText="1"/>
      <protection locked="0"/>
    </xf>
    <xf numFmtId="0" fontId="43" fillId="0" borderId="0" xfId="0" applyFont="1" applyAlignment="1" applyProtection="1">
      <alignment horizontal="left" vertical="top" wrapText="1"/>
      <protection locked="0"/>
    </xf>
    <xf numFmtId="0" fontId="43" fillId="0" borderId="44" xfId="0" applyFont="1" applyBorder="1" applyAlignment="1" applyProtection="1">
      <alignment horizontal="left" vertical="top" wrapText="1"/>
      <protection locked="0"/>
    </xf>
    <xf numFmtId="0" fontId="43" fillId="0" borderId="25" xfId="0" applyFont="1" applyBorder="1" applyAlignment="1" applyProtection="1">
      <alignment horizontal="left" vertical="top" wrapText="1"/>
      <protection locked="0"/>
    </xf>
    <xf numFmtId="0" fontId="43" fillId="0" borderId="61" xfId="0" applyFont="1" applyBorder="1" applyAlignment="1" applyProtection="1">
      <alignment horizontal="left" vertical="top" wrapText="1"/>
      <protection locked="0"/>
    </xf>
    <xf numFmtId="0" fontId="38" fillId="0" borderId="91" xfId="0" applyFont="1" applyBorder="1" applyAlignment="1" applyProtection="1">
      <alignment horizontal="left"/>
      <protection hidden="1"/>
    </xf>
    <xf numFmtId="0" fontId="38" fillId="0" borderId="92" xfId="0" applyFont="1" applyBorder="1" applyAlignment="1" applyProtection="1">
      <alignment horizontal="left"/>
      <protection hidden="1"/>
    </xf>
    <xf numFmtId="0" fontId="38" fillId="0" borderId="93" xfId="0" applyFont="1" applyBorder="1" applyAlignment="1" applyProtection="1">
      <alignment horizontal="left"/>
      <protection hidden="1"/>
    </xf>
    <xf numFmtId="0" fontId="32" fillId="16" borderId="0" xfId="2" applyFill="1" applyAlignment="1" applyProtection="1">
      <alignment horizontal="center" vertical="center"/>
    </xf>
    <xf numFmtId="0" fontId="52" fillId="16" borderId="43" xfId="0" applyFont="1" applyFill="1" applyBorder="1" applyAlignment="1" applyProtection="1">
      <alignment horizontal="left" vertical="center"/>
      <protection hidden="1"/>
    </xf>
    <xf numFmtId="0" fontId="52" fillId="16" borderId="51" xfId="0" applyFont="1" applyFill="1" applyBorder="1" applyAlignment="1" applyProtection="1">
      <alignment horizontal="left" vertical="center"/>
      <protection hidden="1"/>
    </xf>
    <xf numFmtId="0" fontId="52" fillId="16" borderId="52" xfId="0" applyFont="1" applyFill="1" applyBorder="1" applyAlignment="1" applyProtection="1">
      <alignment horizontal="left" vertical="center"/>
      <protection hidden="1"/>
    </xf>
    <xf numFmtId="0" fontId="38" fillId="0" borderId="98" xfId="0" applyFont="1" applyBorder="1" applyAlignment="1" applyProtection="1">
      <alignment horizontal="right" vertical="top"/>
      <protection hidden="1"/>
    </xf>
    <xf numFmtId="0" fontId="38" fillId="0" borderId="45" xfId="0" applyFont="1" applyBorder="1" applyAlignment="1" applyProtection="1">
      <alignment horizontal="right" vertical="top"/>
      <protection hidden="1"/>
    </xf>
    <xf numFmtId="0" fontId="38" fillId="0" borderId="99" xfId="0" applyFont="1" applyBorder="1" applyAlignment="1" applyProtection="1">
      <alignment horizontal="right" vertical="top"/>
      <protection hidden="1"/>
    </xf>
    <xf numFmtId="4" fontId="38" fillId="0" borderId="80" xfId="1" applyNumberFormat="1" applyFont="1" applyFill="1" applyBorder="1" applyAlignment="1" applyProtection="1">
      <alignment horizontal="right"/>
      <protection hidden="1"/>
    </xf>
    <xf numFmtId="3" fontId="38" fillId="0" borderId="91" xfId="1" applyNumberFormat="1" applyFont="1" applyFill="1" applyBorder="1" applyAlignment="1" applyProtection="1">
      <alignment horizontal="center"/>
      <protection hidden="1"/>
    </xf>
    <xf numFmtId="3" fontId="38" fillId="0" borderId="100" xfId="1" applyNumberFormat="1" applyFont="1" applyFill="1" applyBorder="1" applyAlignment="1" applyProtection="1">
      <alignment horizontal="center"/>
      <protection hidden="1"/>
    </xf>
    <xf numFmtId="0" fontId="0" fillId="0" borderId="0" xfId="0" applyAlignment="1">
      <alignment horizontal="center" vertical="center"/>
    </xf>
    <xf numFmtId="0" fontId="59" fillId="24" borderId="0" xfId="0" applyFont="1" applyFill="1" applyAlignment="1" applyProtection="1">
      <alignment horizontal="center"/>
      <protection hidden="1"/>
    </xf>
    <xf numFmtId="0" fontId="38" fillId="0" borderId="0" xfId="0" applyFont="1" applyAlignment="1" applyProtection="1">
      <alignment horizontal="left" indent="2"/>
      <protection hidden="1"/>
    </xf>
    <xf numFmtId="0" fontId="44" fillId="19" borderId="40" xfId="0" applyFont="1" applyFill="1" applyBorder="1" applyAlignment="1" applyProtection="1">
      <alignment horizontal="left"/>
      <protection hidden="1"/>
    </xf>
    <xf numFmtId="0" fontId="44" fillId="19" borderId="41" xfId="0" applyFont="1" applyFill="1" applyBorder="1" applyAlignment="1" applyProtection="1">
      <alignment horizontal="left"/>
      <protection hidden="1"/>
    </xf>
    <xf numFmtId="0" fontId="44" fillId="19" borderId="42" xfId="0" applyFont="1" applyFill="1" applyBorder="1" applyAlignment="1" applyProtection="1">
      <alignment horizontal="left"/>
      <protection hidden="1"/>
    </xf>
    <xf numFmtId="0" fontId="38" fillId="0" borderId="0" xfId="0" applyFont="1" applyAlignment="1" applyProtection="1">
      <alignment horizontal="left" wrapText="1" indent="2"/>
      <protection hidden="1"/>
    </xf>
    <xf numFmtId="0" fontId="43" fillId="17" borderId="43" xfId="0" applyFont="1" applyFill="1" applyBorder="1" applyAlignment="1" applyProtection="1">
      <alignment horizontal="left" vertical="center"/>
      <protection hidden="1"/>
    </xf>
    <xf numFmtId="0" fontId="43" fillId="17" borderId="51" xfId="0" applyFont="1" applyFill="1" applyBorder="1" applyAlignment="1" applyProtection="1">
      <alignment horizontal="left" vertical="center"/>
      <protection hidden="1"/>
    </xf>
    <xf numFmtId="0" fontId="57" fillId="17" borderId="51" xfId="2" applyFont="1" applyFill="1" applyBorder="1" applyAlignment="1" applyProtection="1">
      <alignment horizontal="center" vertical="center"/>
      <protection hidden="1"/>
    </xf>
    <xf numFmtId="0" fontId="57" fillId="17" borderId="52" xfId="2" applyFont="1" applyFill="1" applyBorder="1" applyAlignment="1" applyProtection="1">
      <alignment horizontal="center" vertical="center"/>
      <protection hidden="1"/>
    </xf>
    <xf numFmtId="0" fontId="42" fillId="0" borderId="25" xfId="0" applyFont="1" applyBorder="1" applyAlignment="1" applyProtection="1">
      <alignment horizontal="right" vertical="center"/>
      <protection hidden="1"/>
    </xf>
    <xf numFmtId="0" fontId="42" fillId="0" borderId="61" xfId="0" applyFont="1" applyBorder="1" applyAlignment="1" applyProtection="1">
      <alignment horizontal="right" vertical="center"/>
      <protection hidden="1"/>
    </xf>
    <xf numFmtId="0" fontId="41" fillId="0" borderId="0" xfId="0" applyFont="1" applyAlignment="1" applyProtection="1">
      <alignment horizontal="center" vertical="center"/>
      <protection hidden="1"/>
    </xf>
    <xf numFmtId="0" fontId="41" fillId="0" borderId="0" xfId="0" applyFont="1" applyAlignment="1" applyProtection="1">
      <alignment horizontal="center" wrapText="1"/>
      <protection hidden="1"/>
    </xf>
    <xf numFmtId="0" fontId="44" fillId="19" borderId="39" xfId="0" applyFont="1" applyFill="1" applyBorder="1" applyAlignment="1" applyProtection="1">
      <alignment horizontal="left"/>
      <protection hidden="1"/>
    </xf>
    <xf numFmtId="0" fontId="44" fillId="19" borderId="0" xfId="0" applyFont="1" applyFill="1" applyAlignment="1" applyProtection="1">
      <alignment horizontal="left"/>
      <protection hidden="1"/>
    </xf>
    <xf numFmtId="0" fontId="44" fillId="19" borderId="44" xfId="0" applyFont="1" applyFill="1" applyBorder="1" applyAlignment="1" applyProtection="1">
      <alignment horizontal="left"/>
      <protection hidden="1"/>
    </xf>
    <xf numFmtId="0" fontId="41" fillId="0" borderId="0" xfId="0" applyFont="1" applyAlignment="1" applyProtection="1">
      <alignment horizontal="center" vertical="center" wrapText="1"/>
      <protection hidden="1"/>
    </xf>
    <xf numFmtId="0" fontId="38" fillId="0" borderId="0" xfId="0" applyFont="1" applyAlignment="1" applyProtection="1">
      <alignment horizontal="center" vertical="top" wrapText="1"/>
      <protection hidden="1"/>
    </xf>
    <xf numFmtId="0" fontId="58" fillId="19" borderId="39" xfId="0" applyFont="1" applyFill="1" applyBorder="1" applyAlignment="1" applyProtection="1">
      <alignment horizontal="left"/>
      <protection hidden="1"/>
    </xf>
    <xf numFmtId="0" fontId="58" fillId="19" borderId="0" xfId="0" applyFont="1" applyFill="1" applyAlignment="1" applyProtection="1">
      <alignment horizontal="left"/>
      <protection hidden="1"/>
    </xf>
    <xf numFmtId="0" fontId="58" fillId="19" borderId="44" xfId="0" applyFont="1" applyFill="1" applyBorder="1" applyAlignment="1" applyProtection="1">
      <alignment horizontal="left"/>
      <protection hidden="1"/>
    </xf>
    <xf numFmtId="0" fontId="41" fillId="0" borderId="0" xfId="0" applyFont="1" applyAlignment="1" applyProtection="1">
      <alignment horizontal="center"/>
      <protection hidden="1"/>
    </xf>
    <xf numFmtId="0" fontId="59" fillId="0" borderId="0" xfId="0" applyFont="1" applyAlignment="1" applyProtection="1">
      <alignment horizontal="center"/>
      <protection hidden="1"/>
    </xf>
    <xf numFmtId="0" fontId="38" fillId="0" borderId="25" xfId="0" applyFont="1" applyBorder="1" applyAlignment="1" applyProtection="1">
      <alignment horizontal="center" vertical="top" wrapText="1"/>
      <protection hidden="1"/>
    </xf>
    <xf numFmtId="0" fontId="0" fillId="0" borderId="21" xfId="0" applyBorder="1" applyAlignment="1">
      <alignment horizontal="center"/>
    </xf>
    <xf numFmtId="2" fontId="0" fillId="3" borderId="0" xfId="0" applyNumberFormat="1" applyFill="1" applyAlignment="1">
      <alignment horizontal="center"/>
    </xf>
    <xf numFmtId="0" fontId="0" fillId="3" borderId="0" xfId="0" applyFill="1" applyAlignment="1">
      <alignment horizontal="center"/>
    </xf>
    <xf numFmtId="0" fontId="27" fillId="0" borderId="35" xfId="6" applyFont="1" applyBorder="1" applyAlignment="1">
      <alignment horizontal="left"/>
    </xf>
    <xf numFmtId="0" fontId="25" fillId="0" borderId="35" xfId="6" applyBorder="1" applyAlignment="1">
      <alignment horizontal="left"/>
    </xf>
  </cellXfs>
  <cellStyles count="14">
    <cellStyle name="Čárka" xfId="1" builtinId="3"/>
    <cellStyle name="Hypertextový odkaz" xfId="2" builtinId="8"/>
    <cellStyle name="Hypertextový odkaz 2" xfId="3" xr:uid="{00000000-0005-0000-0000-000002000000}"/>
    <cellStyle name="Měna" xfId="13" builtinId="4"/>
    <cellStyle name="Normální" xfId="0" builtinId="0"/>
    <cellStyle name="normální 2" xfId="4" xr:uid="{00000000-0005-0000-0000-000004000000}"/>
    <cellStyle name="normální 2 2" xfId="5" xr:uid="{00000000-0005-0000-0000-000005000000}"/>
    <cellStyle name="normální 3" xfId="6" xr:uid="{00000000-0005-0000-0000-000006000000}"/>
    <cellStyle name="Normální 4" xfId="7" xr:uid="{00000000-0005-0000-0000-000007000000}"/>
    <cellStyle name="Normální 5" xfId="8" xr:uid="{00000000-0005-0000-0000-000008000000}"/>
    <cellStyle name="Normální 6" xfId="9" xr:uid="{00000000-0005-0000-0000-000009000000}"/>
    <cellStyle name="Normální 7" xfId="10" xr:uid="{00000000-0005-0000-0000-00000A000000}"/>
    <cellStyle name="Normální 8" xfId="11" xr:uid="{00000000-0005-0000-0000-00000B000000}"/>
    <cellStyle name="Procenta 2" xfId="12" xr:uid="{00000000-0005-0000-0000-00000C000000}"/>
  </cellStyles>
  <dxfs count="2"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Drop" dropLines="2" dropStyle="combo" dx="26" fmlaLink="výpočty!$U$14" fmlaRange="výpočty!$R$14:$R$15" noThreeD="1" sel="1" val="0"/>
</file>

<file path=xl/ctrlProps/ctrlProp10.xml><?xml version="1.0" encoding="utf-8"?>
<formControlPr xmlns="http://schemas.microsoft.com/office/spreadsheetml/2009/9/main" objectType="Drop" dropLines="2" dropStyle="combo" dx="26" fmlaLink="výpočty!$S$36" fmlaRange="výpočty!$R$36:$R$37" noThreeD="1" sel="1" val="0"/>
</file>

<file path=xl/ctrlProps/ctrlProp11.xml><?xml version="1.0" encoding="utf-8"?>
<formControlPr xmlns="http://schemas.microsoft.com/office/spreadsheetml/2009/9/main" objectType="Drop" dropLines="2" dropStyle="combo" dx="26" fmlaLink="výpočty!$S$39" fmlaRange="výpočty!$R$39:$R$40" noThreeD="1" sel="1" val="0"/>
</file>

<file path=xl/ctrlProps/ctrlProp12.xml><?xml version="1.0" encoding="utf-8"?>
<formControlPr xmlns="http://schemas.microsoft.com/office/spreadsheetml/2009/9/main" objectType="Drop" dropLines="2" dropStyle="combo" dx="26" fmlaLink="výpočty!$S$41" fmlaRange="výpočty!$R$41:$R$42" noThreeD="1" sel="1" val="0"/>
</file>

<file path=xl/ctrlProps/ctrlProp13.xml><?xml version="1.0" encoding="utf-8"?>
<formControlPr xmlns="http://schemas.microsoft.com/office/spreadsheetml/2009/9/main" objectType="Drop" dropLines="2" dropStyle="combo" dx="26" fmlaLink="výpočty!$S$43" fmlaRange="výpočty!$R$43:$R$44" noThreeD="1" sel="1" val="0"/>
</file>

<file path=xl/ctrlProps/ctrlProp14.xml><?xml version="1.0" encoding="utf-8"?>
<formControlPr xmlns="http://schemas.microsoft.com/office/spreadsheetml/2009/9/main" objectType="Drop" dropLines="2" dropStyle="combo" dx="26" fmlaLink="výpočty!$S$45" fmlaRange="výpočty!$R$45:$R$46" noThreeD="1" sel="1" val="0"/>
</file>

<file path=xl/ctrlProps/ctrlProp15.xml><?xml version="1.0" encoding="utf-8"?>
<formControlPr xmlns="http://schemas.microsoft.com/office/spreadsheetml/2009/9/main" objectType="Drop" dropLines="2" dropStyle="combo" dx="26" fmlaLink="výpočty!$S$47" fmlaRange="výpočty!$R$47:$R$48" noThreeD="1" sel="1" val="0"/>
</file>

<file path=xl/ctrlProps/ctrlProp16.xml><?xml version="1.0" encoding="utf-8"?>
<formControlPr xmlns="http://schemas.microsoft.com/office/spreadsheetml/2009/9/main" objectType="Drop" dropLines="2" dropStyle="combo" dx="26" fmlaLink="výpočty!$S$49" fmlaRange="výpočty!$R$49:$R$50" noThreeD="1" sel="1" val="0"/>
</file>

<file path=xl/ctrlProps/ctrlProp17.xml><?xml version="1.0" encoding="utf-8"?>
<formControlPr xmlns="http://schemas.microsoft.com/office/spreadsheetml/2009/9/main" objectType="Drop" dropLines="2" dropStyle="combo" dx="26" fmlaLink="výpočty!$S$51" fmlaRange="výpočty!$R$51:$R$52" noThreeD="1" sel="1" val="0"/>
</file>

<file path=xl/ctrlProps/ctrlProp18.xml><?xml version="1.0" encoding="utf-8"?>
<formControlPr xmlns="http://schemas.microsoft.com/office/spreadsheetml/2009/9/main" objectType="Drop" dropLines="2" dropStyle="combo" dx="26" fmlaLink="výpočty!$S$53" fmlaRange="výpočty!$R$53:$R$54" noThreeD="1" sel="1" val="0"/>
</file>

<file path=xl/ctrlProps/ctrlProp19.xml><?xml version="1.0" encoding="utf-8"?>
<formControlPr xmlns="http://schemas.microsoft.com/office/spreadsheetml/2009/9/main" objectType="Drop" dropLines="2" dropStyle="combo" dx="26" fmlaLink="výpočty!$S$32" fmlaRange="výpočty!$R$32:$R$33" noThreeD="1" sel="1" val="0"/>
</file>

<file path=xl/ctrlProps/ctrlProp2.xml><?xml version="1.0" encoding="utf-8"?>
<formControlPr xmlns="http://schemas.microsoft.com/office/spreadsheetml/2009/9/main" objectType="Drop" dropLines="2" dropStyle="combo" dx="26" fmlaLink="výpočty!$U$14" fmlaRange="výpočty!$R$14:$R$15" noThreeD="1" sel="1" val="0"/>
</file>

<file path=xl/ctrlProps/ctrlProp20.xml><?xml version="1.0" encoding="utf-8"?>
<formControlPr xmlns="http://schemas.microsoft.com/office/spreadsheetml/2009/9/main" objectType="Drop" dropLines="2" dropStyle="combo" dx="26" fmlaLink="výpočty!$S$55" fmlaRange="výpočty!$R$55:$R$56" noThreeD="1" sel="1" val="0"/>
</file>

<file path=xl/ctrlProps/ctrlProp21.xml><?xml version="1.0" encoding="utf-8"?>
<formControlPr xmlns="http://schemas.microsoft.com/office/spreadsheetml/2009/9/main" objectType="Drop" dropLines="2" dropStyle="combo" dx="26" fmlaLink="výpočty!$S$54" fmlaRange="výpočty!$R$53:$R$54" noThreeD="1" sel="1" val="0"/>
</file>

<file path=xl/ctrlProps/ctrlProp22.xml><?xml version="1.0" encoding="utf-8"?>
<formControlPr xmlns="http://schemas.microsoft.com/office/spreadsheetml/2009/9/main" objectType="Drop" dropLines="2" dropStyle="combo" dx="26" fmlaLink="výpočty!$S$60" fmlaRange="výpočty!$R$59:$R$60" noThreeD="1" sel="1" val="0"/>
</file>

<file path=xl/ctrlProps/ctrlProp23.xml><?xml version="1.0" encoding="utf-8"?>
<formControlPr xmlns="http://schemas.microsoft.com/office/spreadsheetml/2009/9/main" objectType="Drop" dropLines="2" dropStyle="combo" dx="26" fmlaLink="výpočty!$S$62" fmlaRange="výpočty!$R$61:$R$62" noThreeD="1" sel="1" val="0"/>
</file>

<file path=xl/ctrlProps/ctrlProp3.xml><?xml version="1.0" encoding="utf-8"?>
<formControlPr xmlns="http://schemas.microsoft.com/office/spreadsheetml/2009/9/main" objectType="Drop" dropLines="20" dropStyle="combo" dx="26" fmlaLink="výpočty!$Y$4" fmlaRange="výpočty!$W$3:$W$20" noThreeD="1" sel="1" val="0"/>
</file>

<file path=xl/ctrlProps/ctrlProp4.xml><?xml version="1.0" encoding="utf-8"?>
<formControlPr xmlns="http://schemas.microsoft.com/office/spreadsheetml/2009/9/main" objectType="Drop" dropLines="5" dropStyle="combo" dx="26" fmlaLink="výpočty!$T$9" fmlaRange="výpočty!$R$9:$R$11" noThreeD="1" sel="1" val="0"/>
</file>

<file path=xl/ctrlProps/ctrlProp5.xml><?xml version="1.0" encoding="utf-8"?>
<formControlPr xmlns="http://schemas.microsoft.com/office/spreadsheetml/2009/9/main" objectType="Drop" dropLines="5" dropStyle="combo" dx="26" fmlaLink="výpočty!$T$3" fmlaRange="výpočty!$R$3:$R$7" noThreeD="1" sel="3" val="0"/>
</file>

<file path=xl/ctrlProps/ctrlProp6.xml><?xml version="1.0" encoding="utf-8"?>
<formControlPr xmlns="http://schemas.microsoft.com/office/spreadsheetml/2009/9/main" objectType="Drop" dropLines="3" dropStyle="combo" dx="26" fmlaLink="výpočty!$X$22" fmlaRange="výpočty!$W$22:$W$23" noThreeD="1" sel="1" val="0"/>
</file>

<file path=xl/ctrlProps/ctrlProp7.xml><?xml version="1.0" encoding="utf-8"?>
<formControlPr xmlns="http://schemas.microsoft.com/office/spreadsheetml/2009/9/main" objectType="Drop" dropLines="2" dropStyle="combo" dx="26" fmlaLink="výpočty!$S$26" fmlaRange="výpočty!$R$26:$R$27" noThreeD="1" sel="1" val="0"/>
</file>

<file path=xl/ctrlProps/ctrlProp8.xml><?xml version="1.0" encoding="utf-8"?>
<formControlPr xmlns="http://schemas.microsoft.com/office/spreadsheetml/2009/9/main" objectType="Drop" dropLines="2" dropStyle="combo" dx="26" fmlaLink="výpočty!$S$28" fmlaRange="výpočty!$R$28:$R$29" noThreeD="1" sel="1" val="0"/>
</file>

<file path=xl/ctrlProps/ctrlProp9.xml><?xml version="1.0" encoding="utf-8"?>
<formControlPr xmlns="http://schemas.microsoft.com/office/spreadsheetml/2009/9/main" objectType="Drop" dropLines="2" dropStyle="combo" dx="26" fmlaLink="výpočty!$S$34" fmlaRange="výpočty!$R$34:$R$35" noThreeD="1" sel="1" val="0"/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image" Target="../media/image12.emf"/><Relationship Id="rId13" Type="http://schemas.openxmlformats.org/officeDocument/2006/relationships/image" Target="../media/image17.png"/><Relationship Id="rId18" Type="http://schemas.openxmlformats.org/officeDocument/2006/relationships/image" Target="../media/image22.emf"/><Relationship Id="rId26" Type="http://schemas.openxmlformats.org/officeDocument/2006/relationships/image" Target="../media/image30.png"/><Relationship Id="rId3" Type="http://schemas.openxmlformats.org/officeDocument/2006/relationships/image" Target="../media/image7.emf"/><Relationship Id="rId21" Type="http://schemas.openxmlformats.org/officeDocument/2006/relationships/image" Target="../media/image25.png"/><Relationship Id="rId7" Type="http://schemas.openxmlformats.org/officeDocument/2006/relationships/image" Target="../media/image11.emf"/><Relationship Id="rId12" Type="http://schemas.openxmlformats.org/officeDocument/2006/relationships/image" Target="../media/image16.png"/><Relationship Id="rId17" Type="http://schemas.openxmlformats.org/officeDocument/2006/relationships/image" Target="../media/image21.emf"/><Relationship Id="rId25" Type="http://schemas.openxmlformats.org/officeDocument/2006/relationships/image" Target="../media/image29.png"/><Relationship Id="rId2" Type="http://schemas.openxmlformats.org/officeDocument/2006/relationships/image" Target="../media/image6.emf"/><Relationship Id="rId16" Type="http://schemas.openxmlformats.org/officeDocument/2006/relationships/image" Target="../media/image20.emf"/><Relationship Id="rId20" Type="http://schemas.openxmlformats.org/officeDocument/2006/relationships/image" Target="../media/image24.png"/><Relationship Id="rId29" Type="http://schemas.openxmlformats.org/officeDocument/2006/relationships/image" Target="../media/image33.png"/><Relationship Id="rId1" Type="http://schemas.openxmlformats.org/officeDocument/2006/relationships/image" Target="../media/image5.emf"/><Relationship Id="rId6" Type="http://schemas.openxmlformats.org/officeDocument/2006/relationships/image" Target="../media/image10.emf"/><Relationship Id="rId11" Type="http://schemas.openxmlformats.org/officeDocument/2006/relationships/image" Target="../media/image15.emf"/><Relationship Id="rId24" Type="http://schemas.openxmlformats.org/officeDocument/2006/relationships/image" Target="../media/image28.png"/><Relationship Id="rId5" Type="http://schemas.openxmlformats.org/officeDocument/2006/relationships/image" Target="../media/image9.emf"/><Relationship Id="rId15" Type="http://schemas.openxmlformats.org/officeDocument/2006/relationships/image" Target="../media/image19.emf"/><Relationship Id="rId23" Type="http://schemas.openxmlformats.org/officeDocument/2006/relationships/image" Target="../media/image27.png"/><Relationship Id="rId28" Type="http://schemas.openxmlformats.org/officeDocument/2006/relationships/image" Target="../media/image32.png"/><Relationship Id="rId10" Type="http://schemas.openxmlformats.org/officeDocument/2006/relationships/image" Target="../media/image14.png"/><Relationship Id="rId19" Type="http://schemas.openxmlformats.org/officeDocument/2006/relationships/image" Target="../media/image23.emf"/><Relationship Id="rId4" Type="http://schemas.openxmlformats.org/officeDocument/2006/relationships/image" Target="../media/image8.emf"/><Relationship Id="rId9" Type="http://schemas.openxmlformats.org/officeDocument/2006/relationships/image" Target="../media/image13.png"/><Relationship Id="rId14" Type="http://schemas.openxmlformats.org/officeDocument/2006/relationships/image" Target="../media/image18.emf"/><Relationship Id="rId22" Type="http://schemas.openxmlformats.org/officeDocument/2006/relationships/image" Target="../media/image26.png"/><Relationship Id="rId27" Type="http://schemas.openxmlformats.org/officeDocument/2006/relationships/image" Target="../media/image31.png"/><Relationship Id="rId30" Type="http://schemas.openxmlformats.org/officeDocument/2006/relationships/image" Target="../media/image34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68580</xdr:colOff>
      <xdr:row>3</xdr:row>
      <xdr:rowOff>137160</xdr:rowOff>
    </xdr:to>
    <xdr:sp macro="" textlink="">
      <xdr:nvSpPr>
        <xdr:cNvPr id="31753" name="AutoShape 1" descr="00be01c7983c$356dda80$0100000a@pc">
          <a:extLst>
            <a:ext uri="{FF2B5EF4-FFF2-40B4-BE49-F238E27FC236}">
              <a16:creationId xmlns:a16="http://schemas.microsoft.com/office/drawing/2014/main" id="{00000000-0008-0000-0000-0000097C0000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1882140" cy="624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68580</xdr:colOff>
      <xdr:row>3</xdr:row>
      <xdr:rowOff>137160</xdr:rowOff>
    </xdr:to>
    <xdr:sp macro="" textlink="">
      <xdr:nvSpPr>
        <xdr:cNvPr id="31754" name="AutoShape 2" descr="00be01c7983c$356dda80$0100000a@pc">
          <a:extLst>
            <a:ext uri="{FF2B5EF4-FFF2-40B4-BE49-F238E27FC236}">
              <a16:creationId xmlns:a16="http://schemas.microsoft.com/office/drawing/2014/main" id="{00000000-0008-0000-0000-00000A7C0000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1882140" cy="624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68580</xdr:colOff>
      <xdr:row>3</xdr:row>
      <xdr:rowOff>137160</xdr:rowOff>
    </xdr:to>
    <xdr:sp macro="" textlink="">
      <xdr:nvSpPr>
        <xdr:cNvPr id="31755" name="AutoShape 3" descr="00be01c7983c$356dda80$0100000a@pc">
          <a:extLst>
            <a:ext uri="{FF2B5EF4-FFF2-40B4-BE49-F238E27FC236}">
              <a16:creationId xmlns:a16="http://schemas.microsoft.com/office/drawing/2014/main" id="{00000000-0008-0000-0000-00000B7C0000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1882140" cy="624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</xdr:colOff>
          <xdr:row>15</xdr:row>
          <xdr:rowOff>30480</xdr:rowOff>
        </xdr:from>
        <xdr:to>
          <xdr:col>3</xdr:col>
          <xdr:colOff>7620</xdr:colOff>
          <xdr:row>17</xdr:row>
          <xdr:rowOff>0</xdr:rowOff>
        </xdr:to>
        <xdr:sp macro="" textlink="">
          <xdr:nvSpPr>
            <xdr:cNvPr id="1033" name="Drop Down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0</xdr:rowOff>
    </xdr:from>
    <xdr:to>
      <xdr:col>2</xdr:col>
      <xdr:colOff>480060</xdr:colOff>
      <xdr:row>4</xdr:row>
      <xdr:rowOff>7620</xdr:rowOff>
    </xdr:to>
    <xdr:sp macro="" textlink="">
      <xdr:nvSpPr>
        <xdr:cNvPr id="32795" name="AutoShape 1" descr="00be01c7983c$356dda80$0100000a@pc">
          <a:extLst>
            <a:ext uri="{FF2B5EF4-FFF2-40B4-BE49-F238E27FC236}">
              <a16:creationId xmlns:a16="http://schemas.microsoft.com/office/drawing/2014/main" id="{00000000-0008-0000-0200-00001B800000}"/>
            </a:ext>
          </a:extLst>
        </xdr:cNvPr>
        <xdr:cNvSpPr>
          <a:spLocks noChangeAspect="1" noChangeArrowheads="1"/>
        </xdr:cNvSpPr>
      </xdr:nvSpPr>
      <xdr:spPr bwMode="auto">
        <a:xfrm>
          <a:off x="0" y="1097280"/>
          <a:ext cx="186690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</xdr:row>
      <xdr:rowOff>0</xdr:rowOff>
    </xdr:from>
    <xdr:to>
      <xdr:col>2</xdr:col>
      <xdr:colOff>480060</xdr:colOff>
      <xdr:row>4</xdr:row>
      <xdr:rowOff>7620</xdr:rowOff>
    </xdr:to>
    <xdr:sp macro="" textlink="">
      <xdr:nvSpPr>
        <xdr:cNvPr id="32796" name="AutoShape 2" descr="00be01c7983c$356dda80$0100000a@pc">
          <a:extLst>
            <a:ext uri="{FF2B5EF4-FFF2-40B4-BE49-F238E27FC236}">
              <a16:creationId xmlns:a16="http://schemas.microsoft.com/office/drawing/2014/main" id="{00000000-0008-0000-0200-00001C800000}"/>
            </a:ext>
          </a:extLst>
        </xdr:cNvPr>
        <xdr:cNvSpPr>
          <a:spLocks noChangeAspect="1" noChangeArrowheads="1"/>
        </xdr:cNvSpPr>
      </xdr:nvSpPr>
      <xdr:spPr bwMode="auto">
        <a:xfrm>
          <a:off x="0" y="1097280"/>
          <a:ext cx="186690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</xdr:row>
      <xdr:rowOff>0</xdr:rowOff>
    </xdr:from>
    <xdr:to>
      <xdr:col>2</xdr:col>
      <xdr:colOff>480060</xdr:colOff>
      <xdr:row>4</xdr:row>
      <xdr:rowOff>7620</xdr:rowOff>
    </xdr:to>
    <xdr:sp macro="" textlink="">
      <xdr:nvSpPr>
        <xdr:cNvPr id="32797" name="AutoShape 3" descr="00be01c7983c$356dda80$0100000a@pc">
          <a:extLst>
            <a:ext uri="{FF2B5EF4-FFF2-40B4-BE49-F238E27FC236}">
              <a16:creationId xmlns:a16="http://schemas.microsoft.com/office/drawing/2014/main" id="{00000000-0008-0000-0200-00001D800000}"/>
            </a:ext>
          </a:extLst>
        </xdr:cNvPr>
        <xdr:cNvSpPr>
          <a:spLocks noChangeAspect="1" noChangeArrowheads="1"/>
        </xdr:cNvSpPr>
      </xdr:nvSpPr>
      <xdr:spPr bwMode="auto">
        <a:xfrm>
          <a:off x="0" y="1097280"/>
          <a:ext cx="186690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2</xdr:col>
      <xdr:colOff>480060</xdr:colOff>
      <xdr:row>51</xdr:row>
      <xdr:rowOff>7620</xdr:rowOff>
    </xdr:to>
    <xdr:sp macro="" textlink="">
      <xdr:nvSpPr>
        <xdr:cNvPr id="32798" name="AutoShape 10" descr="00be01c7983c$356dda80$0100000a@pc">
          <a:extLst>
            <a:ext uri="{FF2B5EF4-FFF2-40B4-BE49-F238E27FC236}">
              <a16:creationId xmlns:a16="http://schemas.microsoft.com/office/drawing/2014/main" id="{00000000-0008-0000-0200-00001E800000}"/>
            </a:ext>
          </a:extLst>
        </xdr:cNvPr>
        <xdr:cNvSpPr>
          <a:spLocks noChangeAspect="1" noChangeArrowheads="1"/>
        </xdr:cNvSpPr>
      </xdr:nvSpPr>
      <xdr:spPr bwMode="auto">
        <a:xfrm>
          <a:off x="0" y="9372600"/>
          <a:ext cx="186690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2</xdr:col>
      <xdr:colOff>480060</xdr:colOff>
      <xdr:row>51</xdr:row>
      <xdr:rowOff>7620</xdr:rowOff>
    </xdr:to>
    <xdr:sp macro="" textlink="">
      <xdr:nvSpPr>
        <xdr:cNvPr id="32799" name="AutoShape 11" descr="00be01c7983c$356dda80$0100000a@pc">
          <a:extLst>
            <a:ext uri="{FF2B5EF4-FFF2-40B4-BE49-F238E27FC236}">
              <a16:creationId xmlns:a16="http://schemas.microsoft.com/office/drawing/2014/main" id="{00000000-0008-0000-0200-00001F800000}"/>
            </a:ext>
          </a:extLst>
        </xdr:cNvPr>
        <xdr:cNvSpPr>
          <a:spLocks noChangeAspect="1" noChangeArrowheads="1"/>
        </xdr:cNvSpPr>
      </xdr:nvSpPr>
      <xdr:spPr bwMode="auto">
        <a:xfrm>
          <a:off x="0" y="9372600"/>
          <a:ext cx="186690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2</xdr:col>
      <xdr:colOff>480060</xdr:colOff>
      <xdr:row>51</xdr:row>
      <xdr:rowOff>7620</xdr:rowOff>
    </xdr:to>
    <xdr:sp macro="" textlink="">
      <xdr:nvSpPr>
        <xdr:cNvPr id="32800" name="AutoShape 12" descr="00be01c7983c$356dda80$0100000a@pc">
          <a:extLst>
            <a:ext uri="{FF2B5EF4-FFF2-40B4-BE49-F238E27FC236}">
              <a16:creationId xmlns:a16="http://schemas.microsoft.com/office/drawing/2014/main" id="{00000000-0008-0000-0200-000020800000}"/>
            </a:ext>
          </a:extLst>
        </xdr:cNvPr>
        <xdr:cNvSpPr>
          <a:spLocks noChangeAspect="1" noChangeArrowheads="1"/>
        </xdr:cNvSpPr>
      </xdr:nvSpPr>
      <xdr:spPr bwMode="auto">
        <a:xfrm>
          <a:off x="0" y="9372600"/>
          <a:ext cx="186690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11</xdr:col>
      <xdr:colOff>0</xdr:colOff>
      <xdr:row>4</xdr:row>
      <xdr:rowOff>7620</xdr:rowOff>
    </xdr:to>
    <xdr:sp macro="" textlink="">
      <xdr:nvSpPr>
        <xdr:cNvPr id="32801" name="AutoShape 13" descr="00be01c7983c$356dda80$0100000a@pc">
          <a:extLst>
            <a:ext uri="{FF2B5EF4-FFF2-40B4-BE49-F238E27FC236}">
              <a16:creationId xmlns:a16="http://schemas.microsoft.com/office/drawing/2014/main" id="{00000000-0008-0000-0200-000021800000}"/>
            </a:ext>
          </a:extLst>
        </xdr:cNvPr>
        <xdr:cNvSpPr>
          <a:spLocks noChangeAspect="1" noChangeArrowheads="1"/>
        </xdr:cNvSpPr>
      </xdr:nvSpPr>
      <xdr:spPr bwMode="auto">
        <a:xfrm>
          <a:off x="6652260" y="1097280"/>
          <a:ext cx="182880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11</xdr:col>
      <xdr:colOff>0</xdr:colOff>
      <xdr:row>4</xdr:row>
      <xdr:rowOff>7620</xdr:rowOff>
    </xdr:to>
    <xdr:sp macro="" textlink="">
      <xdr:nvSpPr>
        <xdr:cNvPr id="32802" name="AutoShape 14" descr="00be01c7983c$356dda80$0100000a@pc">
          <a:extLst>
            <a:ext uri="{FF2B5EF4-FFF2-40B4-BE49-F238E27FC236}">
              <a16:creationId xmlns:a16="http://schemas.microsoft.com/office/drawing/2014/main" id="{00000000-0008-0000-0200-000022800000}"/>
            </a:ext>
          </a:extLst>
        </xdr:cNvPr>
        <xdr:cNvSpPr>
          <a:spLocks noChangeAspect="1" noChangeArrowheads="1"/>
        </xdr:cNvSpPr>
      </xdr:nvSpPr>
      <xdr:spPr bwMode="auto">
        <a:xfrm>
          <a:off x="6652260" y="1097280"/>
          <a:ext cx="182880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11</xdr:col>
      <xdr:colOff>0</xdr:colOff>
      <xdr:row>4</xdr:row>
      <xdr:rowOff>7620</xdr:rowOff>
    </xdr:to>
    <xdr:sp macro="" textlink="">
      <xdr:nvSpPr>
        <xdr:cNvPr id="32803" name="AutoShape 15" descr="00be01c7983c$356dda80$0100000a@pc">
          <a:extLst>
            <a:ext uri="{FF2B5EF4-FFF2-40B4-BE49-F238E27FC236}">
              <a16:creationId xmlns:a16="http://schemas.microsoft.com/office/drawing/2014/main" id="{00000000-0008-0000-0200-000023800000}"/>
            </a:ext>
          </a:extLst>
        </xdr:cNvPr>
        <xdr:cNvSpPr>
          <a:spLocks noChangeAspect="1" noChangeArrowheads="1"/>
        </xdr:cNvSpPr>
      </xdr:nvSpPr>
      <xdr:spPr bwMode="auto">
        <a:xfrm>
          <a:off x="6652260" y="1097280"/>
          <a:ext cx="182880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3</xdr:col>
          <xdr:colOff>60960</xdr:colOff>
          <xdr:row>0</xdr:row>
          <xdr:rowOff>0</xdr:rowOff>
        </xdr:to>
        <xdr:sp macro="" textlink="">
          <xdr:nvSpPr>
            <xdr:cNvPr id="3076" name="Object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2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1851660</xdr:colOff>
      <xdr:row>2</xdr:row>
      <xdr:rowOff>91440</xdr:rowOff>
    </xdr:from>
    <xdr:to>
      <xdr:col>30</xdr:col>
      <xdr:colOff>2834640</xdr:colOff>
      <xdr:row>6</xdr:row>
      <xdr:rowOff>99060</xdr:rowOff>
    </xdr:to>
    <xdr:pic>
      <xdr:nvPicPr>
        <xdr:cNvPr id="27723" name="Obraz 1">
          <a:extLst>
            <a:ext uri="{FF2B5EF4-FFF2-40B4-BE49-F238E27FC236}">
              <a16:creationId xmlns:a16="http://schemas.microsoft.com/office/drawing/2014/main" id="{00000000-0008-0000-0300-00004B6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66960" y="365760"/>
          <a:ext cx="0" cy="739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198120</xdr:colOff>
      <xdr:row>2</xdr:row>
      <xdr:rowOff>175260</xdr:rowOff>
    </xdr:from>
    <xdr:to>
      <xdr:col>30</xdr:col>
      <xdr:colOff>281940</xdr:colOff>
      <xdr:row>6</xdr:row>
      <xdr:rowOff>7620</xdr:rowOff>
    </xdr:to>
    <xdr:pic>
      <xdr:nvPicPr>
        <xdr:cNvPr id="27724" name="Obrázek 45">
          <a:extLst>
            <a:ext uri="{FF2B5EF4-FFF2-40B4-BE49-F238E27FC236}">
              <a16:creationId xmlns:a16="http://schemas.microsoft.com/office/drawing/2014/main" id="{00000000-0008-0000-0300-00004C6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93" t="7895" b="13158"/>
        <a:stretch>
          <a:fillRect/>
        </a:stretch>
      </xdr:blipFill>
      <xdr:spPr bwMode="auto">
        <a:xfrm>
          <a:off x="7307580" y="449580"/>
          <a:ext cx="2537460" cy="563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320040</xdr:colOff>
      <xdr:row>1</xdr:row>
      <xdr:rowOff>121920</xdr:rowOff>
    </xdr:from>
    <xdr:to>
      <xdr:col>11</xdr:col>
      <xdr:colOff>295275</xdr:colOff>
      <xdr:row>2</xdr:row>
      <xdr:rowOff>407670</xdr:rowOff>
    </xdr:to>
    <xdr:pic>
      <xdr:nvPicPr>
        <xdr:cNvPr id="7014" name="Obrázek 8" descr="Logo Rehau.gif">
          <a:extLst>
            <a:ext uri="{FF2B5EF4-FFF2-40B4-BE49-F238E27FC236}">
              <a16:creationId xmlns:a16="http://schemas.microsoft.com/office/drawing/2014/main" id="{00000000-0008-0000-0400-0000661B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64380" y="205740"/>
          <a:ext cx="130302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</xdr:colOff>
          <xdr:row>16</xdr:row>
          <xdr:rowOff>0</xdr:rowOff>
        </xdr:from>
        <xdr:to>
          <xdr:col>14</xdr:col>
          <xdr:colOff>495300</xdr:colOff>
          <xdr:row>16</xdr:row>
          <xdr:rowOff>236220</xdr:rowOff>
        </xdr:to>
        <xdr:sp macro="" textlink="">
          <xdr:nvSpPr>
            <xdr:cNvPr id="6145" name="Drop Down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4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23</xdr:row>
          <xdr:rowOff>38100</xdr:rowOff>
        </xdr:from>
        <xdr:to>
          <xdr:col>14</xdr:col>
          <xdr:colOff>495300</xdr:colOff>
          <xdr:row>25</xdr:row>
          <xdr:rowOff>7620</xdr:rowOff>
        </xdr:to>
        <xdr:sp macro="" textlink="">
          <xdr:nvSpPr>
            <xdr:cNvPr id="6151" name="Drop Down 7" hidden="1">
              <a:extLst>
                <a:ext uri="{63B3BB69-23CF-44E3-9099-C40C66FF867C}">
                  <a14:compatExt spid="_x0000_s6151"/>
                </a:ext>
                <a:ext uri="{FF2B5EF4-FFF2-40B4-BE49-F238E27FC236}">
                  <a16:creationId xmlns:a16="http://schemas.microsoft.com/office/drawing/2014/main" id="{00000000-0008-0000-0400-00000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24</xdr:row>
          <xdr:rowOff>0</xdr:rowOff>
        </xdr:from>
        <xdr:to>
          <xdr:col>6</xdr:col>
          <xdr:colOff>0</xdr:colOff>
          <xdr:row>25</xdr:row>
          <xdr:rowOff>7620</xdr:rowOff>
        </xdr:to>
        <xdr:sp macro="" textlink="">
          <xdr:nvSpPr>
            <xdr:cNvPr id="6152" name="Drop Down 8" hidden="1">
              <a:extLst>
                <a:ext uri="{63B3BB69-23CF-44E3-9099-C40C66FF867C}">
                  <a14:compatExt spid="_x0000_s6152"/>
                </a:ext>
                <a:ext uri="{FF2B5EF4-FFF2-40B4-BE49-F238E27FC236}">
                  <a16:creationId xmlns:a16="http://schemas.microsoft.com/office/drawing/2014/main" id="{00000000-0008-0000-0400-00000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19</xdr:row>
          <xdr:rowOff>30480</xdr:rowOff>
        </xdr:from>
        <xdr:to>
          <xdr:col>14</xdr:col>
          <xdr:colOff>495300</xdr:colOff>
          <xdr:row>20</xdr:row>
          <xdr:rowOff>236220</xdr:rowOff>
        </xdr:to>
        <xdr:sp macro="" textlink="">
          <xdr:nvSpPr>
            <xdr:cNvPr id="6157" name="Drop Down 13" hidden="1">
              <a:extLst>
                <a:ext uri="{63B3BB69-23CF-44E3-9099-C40C66FF867C}">
                  <a14:compatExt spid="_x0000_s6157"/>
                </a:ext>
                <a:ext uri="{FF2B5EF4-FFF2-40B4-BE49-F238E27FC236}">
                  <a16:creationId xmlns:a16="http://schemas.microsoft.com/office/drawing/2014/main" id="{00000000-0008-0000-0400-00000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22</xdr:row>
          <xdr:rowOff>0</xdr:rowOff>
        </xdr:from>
        <xdr:to>
          <xdr:col>6</xdr:col>
          <xdr:colOff>0</xdr:colOff>
          <xdr:row>23</xdr:row>
          <xdr:rowOff>0</xdr:rowOff>
        </xdr:to>
        <xdr:sp macro="" textlink="">
          <xdr:nvSpPr>
            <xdr:cNvPr id="6159" name="Drop Down 15" hidden="1">
              <a:extLst>
                <a:ext uri="{63B3BB69-23CF-44E3-9099-C40C66FF867C}">
                  <a14:compatExt spid="_x0000_s6159"/>
                </a:ext>
                <a:ext uri="{FF2B5EF4-FFF2-40B4-BE49-F238E27FC236}">
                  <a16:creationId xmlns:a16="http://schemas.microsoft.com/office/drawing/2014/main" id="{00000000-0008-0000-0400-00000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30</xdr:row>
          <xdr:rowOff>198120</xdr:rowOff>
        </xdr:from>
        <xdr:to>
          <xdr:col>14</xdr:col>
          <xdr:colOff>708660</xdr:colOff>
          <xdr:row>32</xdr:row>
          <xdr:rowOff>0</xdr:rowOff>
        </xdr:to>
        <xdr:sp macro="" textlink="">
          <xdr:nvSpPr>
            <xdr:cNvPr id="6160" name="Drop Down 16" hidden="1">
              <a:extLst>
                <a:ext uri="{63B3BB69-23CF-44E3-9099-C40C66FF867C}">
                  <a14:compatExt spid="_x0000_s6160"/>
                </a:ext>
                <a:ext uri="{FF2B5EF4-FFF2-40B4-BE49-F238E27FC236}">
                  <a16:creationId xmlns:a16="http://schemas.microsoft.com/office/drawing/2014/main" id="{00000000-0008-0000-0400-00001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32</xdr:row>
          <xdr:rowOff>0</xdr:rowOff>
        </xdr:from>
        <xdr:to>
          <xdr:col>14</xdr:col>
          <xdr:colOff>708660</xdr:colOff>
          <xdr:row>33</xdr:row>
          <xdr:rowOff>0</xdr:rowOff>
        </xdr:to>
        <xdr:sp macro="" textlink="">
          <xdr:nvSpPr>
            <xdr:cNvPr id="6339" name="Drop Down 195" hidden="1">
              <a:extLst>
                <a:ext uri="{63B3BB69-23CF-44E3-9099-C40C66FF867C}">
                  <a14:compatExt spid="_x0000_s6339"/>
                </a:ext>
                <a:ext uri="{FF2B5EF4-FFF2-40B4-BE49-F238E27FC236}">
                  <a16:creationId xmlns:a16="http://schemas.microsoft.com/office/drawing/2014/main" id="{00000000-0008-0000-0400-0000C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35</xdr:row>
          <xdr:rowOff>0</xdr:rowOff>
        </xdr:from>
        <xdr:to>
          <xdr:col>14</xdr:col>
          <xdr:colOff>708660</xdr:colOff>
          <xdr:row>36</xdr:row>
          <xdr:rowOff>0</xdr:rowOff>
        </xdr:to>
        <xdr:sp macro="" textlink="">
          <xdr:nvSpPr>
            <xdr:cNvPr id="6341" name="Drop Down 197" hidden="1">
              <a:extLst>
                <a:ext uri="{63B3BB69-23CF-44E3-9099-C40C66FF867C}">
                  <a14:compatExt spid="_x0000_s6341"/>
                </a:ext>
                <a:ext uri="{FF2B5EF4-FFF2-40B4-BE49-F238E27FC236}">
                  <a16:creationId xmlns:a16="http://schemas.microsoft.com/office/drawing/2014/main" id="{00000000-0008-0000-0400-0000C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36</xdr:row>
          <xdr:rowOff>0</xdr:rowOff>
        </xdr:from>
        <xdr:to>
          <xdr:col>14</xdr:col>
          <xdr:colOff>708660</xdr:colOff>
          <xdr:row>37</xdr:row>
          <xdr:rowOff>0</xdr:rowOff>
        </xdr:to>
        <xdr:sp macro="" textlink="">
          <xdr:nvSpPr>
            <xdr:cNvPr id="6342" name="Drop Down 198" hidden="1">
              <a:extLst>
                <a:ext uri="{63B3BB69-23CF-44E3-9099-C40C66FF867C}">
                  <a14:compatExt spid="_x0000_s6342"/>
                </a:ext>
                <a:ext uri="{FF2B5EF4-FFF2-40B4-BE49-F238E27FC236}">
                  <a16:creationId xmlns:a16="http://schemas.microsoft.com/office/drawing/2014/main" id="{00000000-0008-0000-0400-0000C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39</xdr:row>
          <xdr:rowOff>198120</xdr:rowOff>
        </xdr:from>
        <xdr:to>
          <xdr:col>14</xdr:col>
          <xdr:colOff>708660</xdr:colOff>
          <xdr:row>41</xdr:row>
          <xdr:rowOff>0</xdr:rowOff>
        </xdr:to>
        <xdr:sp macro="" textlink="">
          <xdr:nvSpPr>
            <xdr:cNvPr id="6343" name="Drop Down 199" hidden="1">
              <a:extLst>
                <a:ext uri="{63B3BB69-23CF-44E3-9099-C40C66FF867C}">
                  <a14:compatExt spid="_x0000_s6343"/>
                </a:ext>
                <a:ext uri="{FF2B5EF4-FFF2-40B4-BE49-F238E27FC236}">
                  <a16:creationId xmlns:a16="http://schemas.microsoft.com/office/drawing/2014/main" id="{00000000-0008-0000-0400-0000C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40</xdr:row>
          <xdr:rowOff>198120</xdr:rowOff>
        </xdr:from>
        <xdr:to>
          <xdr:col>14</xdr:col>
          <xdr:colOff>708660</xdr:colOff>
          <xdr:row>42</xdr:row>
          <xdr:rowOff>0</xdr:rowOff>
        </xdr:to>
        <xdr:sp macro="" textlink="">
          <xdr:nvSpPr>
            <xdr:cNvPr id="6344" name="Drop Down 200" hidden="1">
              <a:extLst>
                <a:ext uri="{63B3BB69-23CF-44E3-9099-C40C66FF867C}">
                  <a14:compatExt spid="_x0000_s6344"/>
                </a:ext>
                <a:ext uri="{FF2B5EF4-FFF2-40B4-BE49-F238E27FC236}">
                  <a16:creationId xmlns:a16="http://schemas.microsoft.com/office/drawing/2014/main" id="{00000000-0008-0000-0400-0000C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43</xdr:row>
          <xdr:rowOff>0</xdr:rowOff>
        </xdr:from>
        <xdr:to>
          <xdr:col>14</xdr:col>
          <xdr:colOff>708660</xdr:colOff>
          <xdr:row>44</xdr:row>
          <xdr:rowOff>0</xdr:rowOff>
        </xdr:to>
        <xdr:sp macro="" textlink="">
          <xdr:nvSpPr>
            <xdr:cNvPr id="6345" name="Drop Down 201" hidden="1">
              <a:extLst>
                <a:ext uri="{63B3BB69-23CF-44E3-9099-C40C66FF867C}">
                  <a14:compatExt spid="_x0000_s6345"/>
                </a:ext>
                <a:ext uri="{FF2B5EF4-FFF2-40B4-BE49-F238E27FC236}">
                  <a16:creationId xmlns:a16="http://schemas.microsoft.com/office/drawing/2014/main" id="{00000000-0008-0000-0400-0000C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43</xdr:row>
          <xdr:rowOff>198120</xdr:rowOff>
        </xdr:from>
        <xdr:to>
          <xdr:col>14</xdr:col>
          <xdr:colOff>708660</xdr:colOff>
          <xdr:row>45</xdr:row>
          <xdr:rowOff>0</xdr:rowOff>
        </xdr:to>
        <xdr:sp macro="" textlink="">
          <xdr:nvSpPr>
            <xdr:cNvPr id="6346" name="Drop Down 202" hidden="1">
              <a:extLst>
                <a:ext uri="{63B3BB69-23CF-44E3-9099-C40C66FF867C}">
                  <a14:compatExt spid="_x0000_s6346"/>
                </a:ext>
                <a:ext uri="{FF2B5EF4-FFF2-40B4-BE49-F238E27FC236}">
                  <a16:creationId xmlns:a16="http://schemas.microsoft.com/office/drawing/2014/main" id="{00000000-0008-0000-0400-0000C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45</xdr:row>
          <xdr:rowOff>0</xdr:rowOff>
        </xdr:from>
        <xdr:to>
          <xdr:col>14</xdr:col>
          <xdr:colOff>708660</xdr:colOff>
          <xdr:row>46</xdr:row>
          <xdr:rowOff>0</xdr:rowOff>
        </xdr:to>
        <xdr:sp macro="" textlink="">
          <xdr:nvSpPr>
            <xdr:cNvPr id="6347" name="Drop Down 203" hidden="1">
              <a:extLst>
                <a:ext uri="{63B3BB69-23CF-44E3-9099-C40C66FF867C}">
                  <a14:compatExt spid="_x0000_s6347"/>
                </a:ext>
                <a:ext uri="{FF2B5EF4-FFF2-40B4-BE49-F238E27FC236}">
                  <a16:creationId xmlns:a16="http://schemas.microsoft.com/office/drawing/2014/main" id="{00000000-0008-0000-0400-0000C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46</xdr:row>
          <xdr:rowOff>0</xdr:rowOff>
        </xdr:from>
        <xdr:to>
          <xdr:col>14</xdr:col>
          <xdr:colOff>708660</xdr:colOff>
          <xdr:row>47</xdr:row>
          <xdr:rowOff>0</xdr:rowOff>
        </xdr:to>
        <xdr:sp macro="" textlink="">
          <xdr:nvSpPr>
            <xdr:cNvPr id="6348" name="Drop Down 204" hidden="1">
              <a:extLst>
                <a:ext uri="{63B3BB69-23CF-44E3-9099-C40C66FF867C}">
                  <a14:compatExt spid="_x0000_s6348"/>
                </a:ext>
                <a:ext uri="{FF2B5EF4-FFF2-40B4-BE49-F238E27FC236}">
                  <a16:creationId xmlns:a16="http://schemas.microsoft.com/office/drawing/2014/main" id="{00000000-0008-0000-0400-0000C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48</xdr:row>
          <xdr:rowOff>0</xdr:rowOff>
        </xdr:from>
        <xdr:to>
          <xdr:col>14</xdr:col>
          <xdr:colOff>708660</xdr:colOff>
          <xdr:row>49</xdr:row>
          <xdr:rowOff>0</xdr:rowOff>
        </xdr:to>
        <xdr:sp macro="" textlink="">
          <xdr:nvSpPr>
            <xdr:cNvPr id="6349" name="Drop Down 205" hidden="1">
              <a:extLst>
                <a:ext uri="{63B3BB69-23CF-44E3-9099-C40C66FF867C}">
                  <a14:compatExt spid="_x0000_s6349"/>
                </a:ext>
                <a:ext uri="{FF2B5EF4-FFF2-40B4-BE49-F238E27FC236}">
                  <a16:creationId xmlns:a16="http://schemas.microsoft.com/office/drawing/2014/main" id="{00000000-0008-0000-0400-0000C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49</xdr:row>
          <xdr:rowOff>0</xdr:rowOff>
        </xdr:from>
        <xdr:to>
          <xdr:col>14</xdr:col>
          <xdr:colOff>708660</xdr:colOff>
          <xdr:row>50</xdr:row>
          <xdr:rowOff>0</xdr:rowOff>
        </xdr:to>
        <xdr:sp macro="" textlink="">
          <xdr:nvSpPr>
            <xdr:cNvPr id="6350" name="Drop Down 206" hidden="1">
              <a:extLst>
                <a:ext uri="{63B3BB69-23CF-44E3-9099-C40C66FF867C}">
                  <a14:compatExt spid="_x0000_s6350"/>
                </a:ext>
                <a:ext uri="{FF2B5EF4-FFF2-40B4-BE49-F238E27FC236}">
                  <a16:creationId xmlns:a16="http://schemas.microsoft.com/office/drawing/2014/main" id="{00000000-0008-0000-0400-0000C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34</xdr:row>
          <xdr:rowOff>0</xdr:rowOff>
        </xdr:from>
        <xdr:to>
          <xdr:col>14</xdr:col>
          <xdr:colOff>708660</xdr:colOff>
          <xdr:row>35</xdr:row>
          <xdr:rowOff>0</xdr:rowOff>
        </xdr:to>
        <xdr:sp macro="" textlink="">
          <xdr:nvSpPr>
            <xdr:cNvPr id="6352" name="Drop Down 208" hidden="1">
              <a:extLst>
                <a:ext uri="{63B3BB69-23CF-44E3-9099-C40C66FF867C}">
                  <a14:compatExt spid="_x0000_s6352"/>
                </a:ext>
                <a:ext uri="{FF2B5EF4-FFF2-40B4-BE49-F238E27FC236}">
                  <a16:creationId xmlns:a16="http://schemas.microsoft.com/office/drawing/2014/main" id="{00000000-0008-0000-0400-0000D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47</xdr:row>
          <xdr:rowOff>0</xdr:rowOff>
        </xdr:from>
        <xdr:to>
          <xdr:col>14</xdr:col>
          <xdr:colOff>708660</xdr:colOff>
          <xdr:row>48</xdr:row>
          <xdr:rowOff>0</xdr:rowOff>
        </xdr:to>
        <xdr:sp macro="" textlink="">
          <xdr:nvSpPr>
            <xdr:cNvPr id="6368" name="Drop Down 224" hidden="1">
              <a:extLst>
                <a:ext uri="{63B3BB69-23CF-44E3-9099-C40C66FF867C}">
                  <a14:compatExt spid="_x0000_s6368"/>
                </a:ext>
                <a:ext uri="{FF2B5EF4-FFF2-40B4-BE49-F238E27FC236}">
                  <a16:creationId xmlns:a16="http://schemas.microsoft.com/office/drawing/2014/main" id="{00000000-0008-0000-0400-0000E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746760</xdr:colOff>
          <xdr:row>52</xdr:row>
          <xdr:rowOff>0</xdr:rowOff>
        </xdr:from>
        <xdr:to>
          <xdr:col>14</xdr:col>
          <xdr:colOff>708660</xdr:colOff>
          <xdr:row>53</xdr:row>
          <xdr:rowOff>0</xdr:rowOff>
        </xdr:to>
        <xdr:sp macro="" textlink="">
          <xdr:nvSpPr>
            <xdr:cNvPr id="6485" name="Drop Down 341" hidden="1">
              <a:extLst>
                <a:ext uri="{63B3BB69-23CF-44E3-9099-C40C66FF867C}">
                  <a14:compatExt spid="_x0000_s6485"/>
                </a:ext>
                <a:ext uri="{FF2B5EF4-FFF2-40B4-BE49-F238E27FC236}">
                  <a16:creationId xmlns:a16="http://schemas.microsoft.com/office/drawing/2014/main" id="{00000000-0008-0000-0400-000055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37</xdr:row>
          <xdr:rowOff>0</xdr:rowOff>
        </xdr:from>
        <xdr:to>
          <xdr:col>14</xdr:col>
          <xdr:colOff>708660</xdr:colOff>
          <xdr:row>38</xdr:row>
          <xdr:rowOff>0</xdr:rowOff>
        </xdr:to>
        <xdr:sp macro="" textlink="">
          <xdr:nvSpPr>
            <xdr:cNvPr id="6604" name="Drop Down 460" hidden="1">
              <a:extLst>
                <a:ext uri="{63B3BB69-23CF-44E3-9099-C40C66FF867C}">
                  <a14:compatExt spid="_x0000_s6604"/>
                </a:ext>
                <a:ext uri="{FF2B5EF4-FFF2-40B4-BE49-F238E27FC236}">
                  <a16:creationId xmlns:a16="http://schemas.microsoft.com/office/drawing/2014/main" id="{00000000-0008-0000-0400-0000CC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 editAs="oneCell">
    <xdr:from>
      <xdr:col>12</xdr:col>
      <xdr:colOff>243840</xdr:colOff>
      <xdr:row>1</xdr:row>
      <xdr:rowOff>121920</xdr:rowOff>
    </xdr:from>
    <xdr:to>
      <xdr:col>14</xdr:col>
      <xdr:colOff>372035</xdr:colOff>
      <xdr:row>2</xdr:row>
      <xdr:rowOff>457200</xdr:rowOff>
    </xdr:to>
    <xdr:pic>
      <xdr:nvPicPr>
        <xdr:cNvPr id="7015" name="Obrázek 1">
          <a:extLst>
            <a:ext uri="{FF2B5EF4-FFF2-40B4-BE49-F238E27FC236}">
              <a16:creationId xmlns:a16="http://schemas.microsoft.com/office/drawing/2014/main" id="{00000000-0008-0000-0400-0000671B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01" t="6252"/>
        <a:stretch>
          <a:fillRect/>
        </a:stretch>
      </xdr:blipFill>
      <xdr:spPr bwMode="auto">
        <a:xfrm>
          <a:off x="6202680" y="205740"/>
          <a:ext cx="1897380" cy="502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38</xdr:row>
          <xdr:rowOff>0</xdr:rowOff>
        </xdr:from>
        <xdr:to>
          <xdr:col>14</xdr:col>
          <xdr:colOff>708660</xdr:colOff>
          <xdr:row>39</xdr:row>
          <xdr:rowOff>0</xdr:rowOff>
        </xdr:to>
        <xdr:sp macro="" textlink="">
          <xdr:nvSpPr>
            <xdr:cNvPr id="6729" name="Drop Down 585" hidden="1">
              <a:extLst>
                <a:ext uri="{63B3BB69-23CF-44E3-9099-C40C66FF867C}">
                  <a14:compatExt spid="_x0000_s6729"/>
                </a:ext>
                <a:ext uri="{FF2B5EF4-FFF2-40B4-BE49-F238E27FC236}">
                  <a16:creationId xmlns:a16="http://schemas.microsoft.com/office/drawing/2014/main" id="{00000000-0008-0000-0400-000049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93345</xdr:colOff>
      <xdr:row>73</xdr:row>
      <xdr:rowOff>0</xdr:rowOff>
    </xdr:from>
    <xdr:to>
      <xdr:col>8</xdr:col>
      <xdr:colOff>1271222</xdr:colOff>
      <xdr:row>83</xdr:row>
      <xdr:rowOff>5714</xdr:rowOff>
    </xdr:to>
    <xdr:pic>
      <xdr:nvPicPr>
        <xdr:cNvPr id="33873" name="Picture 1">
          <a:extLst>
            <a:ext uri="{FF2B5EF4-FFF2-40B4-BE49-F238E27FC236}">
              <a16:creationId xmlns:a16="http://schemas.microsoft.com/office/drawing/2014/main" id="{00000000-0008-0000-0700-0000518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98445" y="8648700"/>
          <a:ext cx="2254202" cy="16440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201930</xdr:colOff>
      <xdr:row>72</xdr:row>
      <xdr:rowOff>68580</xdr:rowOff>
    </xdr:from>
    <xdr:to>
      <xdr:col>5</xdr:col>
      <xdr:colOff>492808</xdr:colOff>
      <xdr:row>80</xdr:row>
      <xdr:rowOff>297181</xdr:rowOff>
    </xdr:to>
    <xdr:pic>
      <xdr:nvPicPr>
        <xdr:cNvPr id="33874" name="Picture 2">
          <a:extLst>
            <a:ext uri="{FF2B5EF4-FFF2-40B4-BE49-F238E27FC236}">
              <a16:creationId xmlns:a16="http://schemas.microsoft.com/office/drawing/2014/main" id="{00000000-0008-0000-0700-0000528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5780" y="8555355"/>
          <a:ext cx="2005378" cy="1524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320040</xdr:colOff>
      <xdr:row>72</xdr:row>
      <xdr:rowOff>99060</xdr:rowOff>
    </xdr:from>
    <xdr:to>
      <xdr:col>12</xdr:col>
      <xdr:colOff>713058</xdr:colOff>
      <xdr:row>82</xdr:row>
      <xdr:rowOff>53339</xdr:rowOff>
    </xdr:to>
    <xdr:pic>
      <xdr:nvPicPr>
        <xdr:cNvPr id="33875" name="Picture 3">
          <a:extLst>
            <a:ext uri="{FF2B5EF4-FFF2-40B4-BE49-F238E27FC236}">
              <a16:creationId xmlns:a16="http://schemas.microsoft.com/office/drawing/2014/main" id="{00000000-0008-0000-0700-0000538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01815" y="8585835"/>
          <a:ext cx="1602693" cy="16973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62865</xdr:colOff>
      <xdr:row>87</xdr:row>
      <xdr:rowOff>40005</xdr:rowOff>
    </xdr:from>
    <xdr:to>
      <xdr:col>5</xdr:col>
      <xdr:colOff>315643</xdr:colOff>
      <xdr:row>98</xdr:row>
      <xdr:rowOff>17145</xdr:rowOff>
    </xdr:to>
    <xdr:pic>
      <xdr:nvPicPr>
        <xdr:cNvPr id="33876" name="Picture 4">
          <a:extLst>
            <a:ext uri="{FF2B5EF4-FFF2-40B4-BE49-F238E27FC236}">
              <a16:creationId xmlns:a16="http://schemas.microsoft.com/office/drawing/2014/main" id="{00000000-0008-0000-0700-0000548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6715" y="11079480"/>
          <a:ext cx="1967278" cy="1758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409575</xdr:colOff>
      <xdr:row>87</xdr:row>
      <xdr:rowOff>154305</xdr:rowOff>
    </xdr:from>
    <xdr:to>
      <xdr:col>8</xdr:col>
      <xdr:colOff>320188</xdr:colOff>
      <xdr:row>97</xdr:row>
      <xdr:rowOff>161924</xdr:rowOff>
    </xdr:to>
    <xdr:pic>
      <xdr:nvPicPr>
        <xdr:cNvPr id="33877" name="Picture 5">
          <a:extLst>
            <a:ext uri="{FF2B5EF4-FFF2-40B4-BE49-F238E27FC236}">
              <a16:creationId xmlns:a16="http://schemas.microsoft.com/office/drawing/2014/main" id="{00000000-0008-0000-0700-0000558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47925" y="11193780"/>
          <a:ext cx="1653688" cy="16268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24765</xdr:colOff>
      <xdr:row>104</xdr:row>
      <xdr:rowOff>89535</xdr:rowOff>
    </xdr:from>
    <xdr:to>
      <xdr:col>9</xdr:col>
      <xdr:colOff>823892</xdr:colOff>
      <xdr:row>113</xdr:row>
      <xdr:rowOff>112396</xdr:rowOff>
    </xdr:to>
    <xdr:pic>
      <xdr:nvPicPr>
        <xdr:cNvPr id="33878" name="Picture 11">
          <a:extLst>
            <a:ext uri="{FF2B5EF4-FFF2-40B4-BE49-F238E27FC236}">
              <a16:creationId xmlns:a16="http://schemas.microsoft.com/office/drawing/2014/main" id="{00000000-0008-0000-0700-0000568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6590" y="13796010"/>
          <a:ext cx="3151802" cy="14801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133350</xdr:colOff>
      <xdr:row>104</xdr:row>
      <xdr:rowOff>55245</xdr:rowOff>
    </xdr:from>
    <xdr:to>
      <xdr:col>6</xdr:col>
      <xdr:colOff>199438</xdr:colOff>
      <xdr:row>113</xdr:row>
      <xdr:rowOff>55246</xdr:rowOff>
    </xdr:to>
    <xdr:pic>
      <xdr:nvPicPr>
        <xdr:cNvPr id="33879" name="Picture 12">
          <a:extLst>
            <a:ext uri="{FF2B5EF4-FFF2-40B4-BE49-F238E27FC236}">
              <a16:creationId xmlns:a16="http://schemas.microsoft.com/office/drawing/2014/main" id="{00000000-0008-0000-0700-0000578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13761720"/>
          <a:ext cx="2447338" cy="14573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85725</xdr:colOff>
      <xdr:row>124</xdr:row>
      <xdr:rowOff>32385</xdr:rowOff>
    </xdr:from>
    <xdr:to>
      <xdr:col>5</xdr:col>
      <xdr:colOff>529003</xdr:colOff>
      <xdr:row>133</xdr:row>
      <xdr:rowOff>32386</xdr:rowOff>
    </xdr:to>
    <xdr:pic>
      <xdr:nvPicPr>
        <xdr:cNvPr id="33880" name="Picture 13">
          <a:extLst>
            <a:ext uri="{FF2B5EF4-FFF2-40B4-BE49-F238E27FC236}">
              <a16:creationId xmlns:a16="http://schemas.microsoft.com/office/drawing/2014/main" id="{00000000-0008-0000-0700-0000588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17425035"/>
          <a:ext cx="2157778" cy="14573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20955</xdr:colOff>
      <xdr:row>124</xdr:row>
      <xdr:rowOff>30480</xdr:rowOff>
    </xdr:from>
    <xdr:to>
      <xdr:col>8</xdr:col>
      <xdr:colOff>847873</xdr:colOff>
      <xdr:row>133</xdr:row>
      <xdr:rowOff>114301</xdr:rowOff>
    </xdr:to>
    <xdr:pic>
      <xdr:nvPicPr>
        <xdr:cNvPr id="33881" name="Picture 14">
          <a:extLst>
            <a:ext uri="{FF2B5EF4-FFF2-40B4-BE49-F238E27FC236}">
              <a16:creationId xmlns:a16="http://schemas.microsoft.com/office/drawing/2014/main" id="{00000000-0008-0000-0700-0000598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2780" y="17423130"/>
          <a:ext cx="1436518" cy="15411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504825</xdr:colOff>
      <xdr:row>124</xdr:row>
      <xdr:rowOff>1905</xdr:rowOff>
    </xdr:from>
    <xdr:to>
      <xdr:col>12</xdr:col>
      <xdr:colOff>775923</xdr:colOff>
      <xdr:row>133</xdr:row>
      <xdr:rowOff>93346</xdr:rowOff>
    </xdr:to>
    <xdr:pic>
      <xdr:nvPicPr>
        <xdr:cNvPr id="33882" name="Picture 14">
          <a:extLst>
            <a:ext uri="{FF2B5EF4-FFF2-40B4-BE49-F238E27FC236}">
              <a16:creationId xmlns:a16="http://schemas.microsoft.com/office/drawing/2014/main" id="{00000000-0008-0000-0700-00005A8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86600" y="17394555"/>
          <a:ext cx="1480773" cy="15487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179070</xdr:colOff>
      <xdr:row>153</xdr:row>
      <xdr:rowOff>59055</xdr:rowOff>
    </xdr:from>
    <xdr:to>
      <xdr:col>3</xdr:col>
      <xdr:colOff>473759</xdr:colOff>
      <xdr:row>156</xdr:row>
      <xdr:rowOff>59055</xdr:rowOff>
    </xdr:to>
    <xdr:pic>
      <xdr:nvPicPr>
        <xdr:cNvPr id="33883" name="Obrázek 16" descr="ALU.png">
          <a:extLst>
            <a:ext uri="{FF2B5EF4-FFF2-40B4-BE49-F238E27FC236}">
              <a16:creationId xmlns:a16="http://schemas.microsoft.com/office/drawing/2014/main" id="{00000000-0008-0000-0700-00005B8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3845" y="22414230"/>
          <a:ext cx="1009064" cy="485775"/>
        </a:xfrm>
        <a:prstGeom prst="rect">
          <a:avLst/>
        </a:prstGeom>
        <a:noFill/>
        <a:ln w="317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188595</xdr:colOff>
      <xdr:row>158</xdr:row>
      <xdr:rowOff>59055</xdr:rowOff>
    </xdr:from>
    <xdr:to>
      <xdr:col>3</xdr:col>
      <xdr:colOff>483284</xdr:colOff>
      <xdr:row>161</xdr:row>
      <xdr:rowOff>59055</xdr:rowOff>
    </xdr:to>
    <xdr:pic>
      <xdr:nvPicPr>
        <xdr:cNvPr id="33884" name="Obrázek 17" descr="Nerez2.png">
          <a:extLst>
            <a:ext uri="{FF2B5EF4-FFF2-40B4-BE49-F238E27FC236}">
              <a16:creationId xmlns:a16="http://schemas.microsoft.com/office/drawing/2014/main" id="{00000000-0008-0000-0700-00005C8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3370" y="23223855"/>
          <a:ext cx="1009064" cy="485775"/>
        </a:xfrm>
        <a:prstGeom prst="rect">
          <a:avLst/>
        </a:prstGeom>
        <a:noFill/>
        <a:ln w="317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9525</xdr:colOff>
      <xdr:row>158</xdr:row>
      <xdr:rowOff>70485</xdr:rowOff>
    </xdr:from>
    <xdr:to>
      <xdr:col>6</xdr:col>
      <xdr:colOff>367665</xdr:colOff>
      <xdr:row>161</xdr:row>
      <xdr:rowOff>55245</xdr:rowOff>
    </xdr:to>
    <xdr:pic>
      <xdr:nvPicPr>
        <xdr:cNvPr id="33885" name="Picture 71">
          <a:extLst>
            <a:ext uri="{FF2B5EF4-FFF2-40B4-BE49-F238E27FC236}">
              <a16:creationId xmlns:a16="http://schemas.microsoft.com/office/drawing/2014/main" id="{00000000-0008-0000-0700-00005D8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47875" y="23235285"/>
          <a:ext cx="1024890" cy="470535"/>
        </a:xfrm>
        <a:prstGeom prst="rect">
          <a:avLst/>
        </a:prstGeom>
        <a:noFill/>
        <a:ln w="317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588645</xdr:colOff>
      <xdr:row>153</xdr:row>
      <xdr:rowOff>95250</xdr:rowOff>
    </xdr:from>
    <xdr:to>
      <xdr:col>6</xdr:col>
      <xdr:colOff>316229</xdr:colOff>
      <xdr:row>156</xdr:row>
      <xdr:rowOff>95250</xdr:rowOff>
    </xdr:to>
    <xdr:pic>
      <xdr:nvPicPr>
        <xdr:cNvPr id="33886" name="Picture 75">
          <a:extLst>
            <a:ext uri="{FF2B5EF4-FFF2-40B4-BE49-F238E27FC236}">
              <a16:creationId xmlns:a16="http://schemas.microsoft.com/office/drawing/2014/main" id="{00000000-0008-0000-0700-00005E8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7395" y="22450425"/>
          <a:ext cx="1003934" cy="485775"/>
        </a:xfrm>
        <a:prstGeom prst="rect">
          <a:avLst/>
        </a:prstGeom>
        <a:noFill/>
        <a:ln w="317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163</xdr:row>
      <xdr:rowOff>34290</xdr:rowOff>
    </xdr:from>
    <xdr:to>
      <xdr:col>6</xdr:col>
      <xdr:colOff>342900</xdr:colOff>
      <xdr:row>166</xdr:row>
      <xdr:rowOff>34290</xdr:rowOff>
    </xdr:to>
    <xdr:pic>
      <xdr:nvPicPr>
        <xdr:cNvPr id="33887" name="Picture 77">
          <a:extLst>
            <a:ext uri="{FF2B5EF4-FFF2-40B4-BE49-F238E27FC236}">
              <a16:creationId xmlns:a16="http://schemas.microsoft.com/office/drawing/2014/main" id="{00000000-0008-0000-0700-00005F8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38350" y="24008715"/>
          <a:ext cx="1009650" cy="485775"/>
        </a:xfrm>
        <a:prstGeom prst="rect">
          <a:avLst/>
        </a:prstGeom>
        <a:noFill/>
        <a:ln w="317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590550</xdr:colOff>
      <xdr:row>158</xdr:row>
      <xdr:rowOff>53340</xdr:rowOff>
    </xdr:from>
    <xdr:to>
      <xdr:col>8</xdr:col>
      <xdr:colOff>979049</xdr:colOff>
      <xdr:row>161</xdr:row>
      <xdr:rowOff>53340</xdr:rowOff>
    </xdr:to>
    <xdr:pic>
      <xdr:nvPicPr>
        <xdr:cNvPr id="33888" name="Picture 78">
          <a:extLst>
            <a:ext uri="{FF2B5EF4-FFF2-40B4-BE49-F238E27FC236}">
              <a16:creationId xmlns:a16="http://schemas.microsoft.com/office/drawing/2014/main" id="{00000000-0008-0000-0700-0000608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400000">
          <a:off x="4018537" y="22961978"/>
          <a:ext cx="485775" cy="998099"/>
        </a:xfrm>
        <a:prstGeom prst="rect">
          <a:avLst/>
        </a:prstGeom>
        <a:noFill/>
        <a:ln w="317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607695</xdr:colOff>
      <xdr:row>153</xdr:row>
      <xdr:rowOff>57150</xdr:rowOff>
    </xdr:from>
    <xdr:to>
      <xdr:col>8</xdr:col>
      <xdr:colOff>1026674</xdr:colOff>
      <xdr:row>156</xdr:row>
      <xdr:rowOff>49530</xdr:rowOff>
    </xdr:to>
    <xdr:pic>
      <xdr:nvPicPr>
        <xdr:cNvPr id="33889" name="Picture 71">
          <a:extLst>
            <a:ext uri="{FF2B5EF4-FFF2-40B4-BE49-F238E27FC236}">
              <a16:creationId xmlns:a16="http://schemas.microsoft.com/office/drawing/2014/main" id="{00000000-0008-0000-0700-0000618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79520" y="22412325"/>
          <a:ext cx="1028579" cy="478155"/>
        </a:xfrm>
        <a:prstGeom prst="rect">
          <a:avLst/>
        </a:prstGeom>
        <a:noFill/>
        <a:ln w="317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607695</xdr:colOff>
      <xdr:row>163</xdr:row>
      <xdr:rowOff>40005</xdr:rowOff>
    </xdr:from>
    <xdr:to>
      <xdr:col>8</xdr:col>
      <xdr:colOff>1013340</xdr:colOff>
      <xdr:row>166</xdr:row>
      <xdr:rowOff>32385</xdr:rowOff>
    </xdr:to>
    <xdr:pic>
      <xdr:nvPicPr>
        <xdr:cNvPr id="33890" name="Picture 79">
          <a:extLst>
            <a:ext uri="{FF2B5EF4-FFF2-40B4-BE49-F238E27FC236}">
              <a16:creationId xmlns:a16="http://schemas.microsoft.com/office/drawing/2014/main" id="{00000000-0008-0000-0700-0000628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79520" y="24014430"/>
          <a:ext cx="1015245" cy="478155"/>
        </a:xfrm>
        <a:prstGeom prst="rect">
          <a:avLst/>
        </a:prstGeom>
        <a:noFill/>
        <a:ln w="317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600075</xdr:colOff>
      <xdr:row>168</xdr:row>
      <xdr:rowOff>66675</xdr:rowOff>
    </xdr:from>
    <xdr:to>
      <xdr:col>8</xdr:col>
      <xdr:colOff>1011434</xdr:colOff>
      <xdr:row>171</xdr:row>
      <xdr:rowOff>59055</xdr:rowOff>
    </xdr:to>
    <xdr:pic>
      <xdr:nvPicPr>
        <xdr:cNvPr id="33891" name="Picture 80">
          <a:extLst>
            <a:ext uri="{FF2B5EF4-FFF2-40B4-BE49-F238E27FC236}">
              <a16:creationId xmlns:a16="http://schemas.microsoft.com/office/drawing/2014/main" id="{00000000-0008-0000-0700-0000638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71900" y="24850725"/>
          <a:ext cx="1020959" cy="478155"/>
        </a:xfrm>
        <a:prstGeom prst="rect">
          <a:avLst/>
        </a:prstGeom>
        <a:noFill/>
        <a:ln w="317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68580</xdr:colOff>
      <xdr:row>153</xdr:row>
      <xdr:rowOff>30480</xdr:rowOff>
    </xdr:from>
    <xdr:to>
      <xdr:col>13</xdr:col>
      <xdr:colOff>251752</xdr:colOff>
      <xdr:row>156</xdr:row>
      <xdr:rowOff>38100</xdr:rowOff>
    </xdr:to>
    <xdr:pic>
      <xdr:nvPicPr>
        <xdr:cNvPr id="33892" name="Picture 81">
          <a:extLst>
            <a:ext uri="{FF2B5EF4-FFF2-40B4-BE49-F238E27FC236}">
              <a16:creationId xmlns:a16="http://schemas.microsoft.com/office/drawing/2014/main" id="{00000000-0008-0000-0700-0000648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60030" y="22385655"/>
          <a:ext cx="1002322" cy="493395"/>
        </a:xfrm>
        <a:prstGeom prst="rect">
          <a:avLst/>
        </a:prstGeom>
        <a:noFill/>
        <a:ln w="317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53340</xdr:colOff>
      <xdr:row>158</xdr:row>
      <xdr:rowOff>28575</xdr:rowOff>
    </xdr:from>
    <xdr:to>
      <xdr:col>13</xdr:col>
      <xdr:colOff>232702</xdr:colOff>
      <xdr:row>161</xdr:row>
      <xdr:rowOff>59055</xdr:rowOff>
    </xdr:to>
    <xdr:pic>
      <xdr:nvPicPr>
        <xdr:cNvPr id="33893" name="Picture 82">
          <a:extLst>
            <a:ext uri="{FF2B5EF4-FFF2-40B4-BE49-F238E27FC236}">
              <a16:creationId xmlns:a16="http://schemas.microsoft.com/office/drawing/2014/main" id="{00000000-0008-0000-0700-0000658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44790" y="23193375"/>
          <a:ext cx="998512" cy="516255"/>
        </a:xfrm>
        <a:prstGeom prst="rect">
          <a:avLst/>
        </a:prstGeom>
        <a:noFill/>
        <a:ln w="317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66675</xdr:colOff>
      <xdr:row>163</xdr:row>
      <xdr:rowOff>38100</xdr:rowOff>
    </xdr:from>
    <xdr:to>
      <xdr:col>13</xdr:col>
      <xdr:colOff>234607</xdr:colOff>
      <xdr:row>166</xdr:row>
      <xdr:rowOff>30480</xdr:rowOff>
    </xdr:to>
    <xdr:pic>
      <xdr:nvPicPr>
        <xdr:cNvPr id="33894" name="Picture 83">
          <a:extLst>
            <a:ext uri="{FF2B5EF4-FFF2-40B4-BE49-F238E27FC236}">
              <a16:creationId xmlns:a16="http://schemas.microsoft.com/office/drawing/2014/main" id="{00000000-0008-0000-0700-0000668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58125" y="24012525"/>
          <a:ext cx="987082" cy="478155"/>
        </a:xfrm>
        <a:prstGeom prst="rect">
          <a:avLst/>
        </a:prstGeom>
        <a:noFill/>
        <a:ln w="317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228600</xdr:colOff>
      <xdr:row>113</xdr:row>
      <xdr:rowOff>11430</xdr:rowOff>
    </xdr:from>
    <xdr:to>
      <xdr:col>9</xdr:col>
      <xdr:colOff>622151</xdr:colOff>
      <xdr:row>119</xdr:row>
      <xdr:rowOff>11430</xdr:rowOff>
    </xdr:to>
    <xdr:pic>
      <xdr:nvPicPr>
        <xdr:cNvPr id="33895" name="Obrázek 24">
          <a:extLst>
            <a:ext uri="{FF2B5EF4-FFF2-40B4-BE49-F238E27FC236}">
              <a16:creationId xmlns:a16="http://schemas.microsoft.com/office/drawing/2014/main" id="{00000000-0008-0000-0700-0000678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10025" y="15175230"/>
          <a:ext cx="2136626" cy="971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165735</xdr:colOff>
      <xdr:row>112</xdr:row>
      <xdr:rowOff>139065</xdr:rowOff>
    </xdr:from>
    <xdr:to>
      <xdr:col>6</xdr:col>
      <xdr:colOff>292783</xdr:colOff>
      <xdr:row>118</xdr:row>
      <xdr:rowOff>95250</xdr:rowOff>
    </xdr:to>
    <xdr:pic>
      <xdr:nvPicPr>
        <xdr:cNvPr id="33896" name="Obrázek 26">
          <a:extLst>
            <a:ext uri="{FF2B5EF4-FFF2-40B4-BE49-F238E27FC236}">
              <a16:creationId xmlns:a16="http://schemas.microsoft.com/office/drawing/2014/main" id="{00000000-0008-0000-0700-0000688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9585" y="15140940"/>
          <a:ext cx="2508298" cy="927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129540</xdr:colOff>
      <xdr:row>132</xdr:row>
      <xdr:rowOff>137160</xdr:rowOff>
    </xdr:from>
    <xdr:to>
      <xdr:col>5</xdr:col>
      <xdr:colOff>452803</xdr:colOff>
      <xdr:row>138</xdr:row>
      <xdr:rowOff>1232</xdr:rowOff>
    </xdr:to>
    <xdr:pic>
      <xdr:nvPicPr>
        <xdr:cNvPr id="33897" name="Obrázek 29">
          <a:extLst>
            <a:ext uri="{FF2B5EF4-FFF2-40B4-BE49-F238E27FC236}">
              <a16:creationId xmlns:a16="http://schemas.microsoft.com/office/drawing/2014/main" id="{00000000-0008-0000-0700-0000698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6220" y="11719560"/>
          <a:ext cx="2316480" cy="906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586740</xdr:colOff>
      <xdr:row>132</xdr:row>
      <xdr:rowOff>7620</xdr:rowOff>
    </xdr:from>
    <xdr:to>
      <xdr:col>8</xdr:col>
      <xdr:colOff>870612</xdr:colOff>
      <xdr:row>138</xdr:row>
      <xdr:rowOff>7620</xdr:rowOff>
    </xdr:to>
    <xdr:pic>
      <xdr:nvPicPr>
        <xdr:cNvPr id="33898" name="Obrázek 31">
          <a:extLst>
            <a:ext uri="{FF2B5EF4-FFF2-40B4-BE49-F238E27FC236}">
              <a16:creationId xmlns:a16="http://schemas.microsoft.com/office/drawing/2014/main" id="{00000000-0008-0000-0700-00006A8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96540" y="11590020"/>
          <a:ext cx="2103120" cy="1051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167640</xdr:colOff>
      <xdr:row>132</xdr:row>
      <xdr:rowOff>68580</xdr:rowOff>
    </xdr:from>
    <xdr:to>
      <xdr:col>12</xdr:col>
      <xdr:colOff>743538</xdr:colOff>
      <xdr:row>137</xdr:row>
      <xdr:rowOff>152398</xdr:rowOff>
    </xdr:to>
    <xdr:pic>
      <xdr:nvPicPr>
        <xdr:cNvPr id="33899" name="Obrázek 32">
          <a:extLst>
            <a:ext uri="{FF2B5EF4-FFF2-40B4-BE49-F238E27FC236}">
              <a16:creationId xmlns:a16="http://schemas.microsoft.com/office/drawing/2014/main" id="{00000000-0008-0000-0700-00006B8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67300" y="11650980"/>
          <a:ext cx="1828800" cy="960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549088</xdr:colOff>
      <xdr:row>46</xdr:row>
      <xdr:rowOff>22410</xdr:rowOff>
    </xdr:from>
    <xdr:to>
      <xdr:col>8</xdr:col>
      <xdr:colOff>1613923</xdr:colOff>
      <xdr:row>67</xdr:row>
      <xdr:rowOff>56028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>
          <a:off x="3966882" y="3832410"/>
          <a:ext cx="1662325" cy="1916207"/>
        </a:xfrm>
        <a:prstGeom prst="rect">
          <a:avLst/>
        </a:prstGeom>
      </xdr:spPr>
    </xdr:pic>
    <xdr:clientData/>
  </xdr:twoCellAnchor>
  <xdr:twoCellAnchor editAs="oneCell">
    <xdr:from>
      <xdr:col>1</xdr:col>
      <xdr:colOff>172397</xdr:colOff>
      <xdr:row>12</xdr:row>
      <xdr:rowOff>112060</xdr:rowOff>
    </xdr:from>
    <xdr:to>
      <xdr:col>4</xdr:col>
      <xdr:colOff>532370</xdr:colOff>
      <xdr:row>32</xdr:row>
      <xdr:rowOff>7760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>
          <a:off x="274974" y="2097656"/>
          <a:ext cx="1686146" cy="1873969"/>
        </a:xfrm>
        <a:prstGeom prst="rect">
          <a:avLst/>
        </a:prstGeom>
      </xdr:spPr>
    </xdr:pic>
    <xdr:clientData/>
  </xdr:twoCellAnchor>
  <xdr:twoCellAnchor editAs="oneCell">
    <xdr:from>
      <xdr:col>3</xdr:col>
      <xdr:colOff>156881</xdr:colOff>
      <xdr:row>46</xdr:row>
      <xdr:rowOff>33618</xdr:rowOff>
    </xdr:from>
    <xdr:to>
      <xdr:col>5</xdr:col>
      <xdr:colOff>627528</xdr:colOff>
      <xdr:row>66</xdr:row>
      <xdr:rowOff>75404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>
          <a:off x="1086969" y="3843618"/>
          <a:ext cx="1680884" cy="1834728"/>
        </a:xfrm>
        <a:prstGeom prst="rect">
          <a:avLst/>
        </a:prstGeom>
      </xdr:spPr>
    </xdr:pic>
    <xdr:clientData/>
  </xdr:twoCellAnchor>
  <xdr:twoCellAnchor editAs="oneCell">
    <xdr:from>
      <xdr:col>6</xdr:col>
      <xdr:colOff>169812</xdr:colOff>
      <xdr:row>12</xdr:row>
      <xdr:rowOff>74994</xdr:rowOff>
    </xdr:from>
    <xdr:to>
      <xdr:col>8</xdr:col>
      <xdr:colOff>819245</xdr:colOff>
      <xdr:row>31</xdr:row>
      <xdr:rowOff>37928</xdr:rowOff>
    </xdr:to>
    <xdr:pic>
      <xdr:nvPicPr>
        <xdr:cNvPr id="5" name="Obrázek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>
          <a:off x="2873447" y="2060590"/>
          <a:ext cx="1726490" cy="1853280"/>
        </a:xfrm>
        <a:prstGeom prst="rect">
          <a:avLst/>
        </a:prstGeom>
      </xdr:spPr>
    </xdr:pic>
    <xdr:clientData/>
  </xdr:twoCellAnchor>
  <xdr:twoCellAnchor editAs="oneCell">
    <xdr:from>
      <xdr:col>10</xdr:col>
      <xdr:colOff>216360</xdr:colOff>
      <xdr:row>12</xdr:row>
      <xdr:rowOff>112061</xdr:rowOff>
    </xdr:from>
    <xdr:to>
      <xdr:col>12</xdr:col>
      <xdr:colOff>795849</xdr:colOff>
      <xdr:row>32</xdr:row>
      <xdr:rowOff>7760</xdr:rowOff>
    </xdr:to>
    <xdr:pic>
      <xdr:nvPicPr>
        <xdr:cNvPr id="6" name="Obrázek 5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xfrm>
          <a:off x="5946014" y="2097657"/>
          <a:ext cx="1795758" cy="1873968"/>
        </a:xfrm>
        <a:prstGeom prst="rect">
          <a:avLst/>
        </a:prstGeom>
      </xdr:spPr>
    </xdr:pic>
    <xdr:clientData/>
  </xdr:twoCellAnchor>
  <xdr:twoCellAnchor editAs="oneCell">
    <xdr:from>
      <xdr:col>10</xdr:col>
      <xdr:colOff>104775</xdr:colOff>
      <xdr:row>147</xdr:row>
      <xdr:rowOff>28575</xdr:rowOff>
    </xdr:from>
    <xdr:to>
      <xdr:col>13</xdr:col>
      <xdr:colOff>228599</xdr:colOff>
      <xdr:row>147</xdr:row>
      <xdr:rowOff>1678008</xdr:rowOff>
    </xdr:to>
    <xdr:pic>
      <xdr:nvPicPr>
        <xdr:cNvPr id="7" name="Obrázek 6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>
          <a:off x="6686550" y="21145500"/>
          <a:ext cx="2152649" cy="16494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1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demos-trade.com/" TargetMode="Externa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drawing" Target="../drawings/drawing4.x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printerSettings" Target="../printerSettings/printerSettings5.bin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hyperlink" Target="http://www.demos24plus.com/" TargetMode="External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vmlDrawing" Target="../drawings/vmlDrawing3.v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omments" Target="../comments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://www.demos24plus.com/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tabColor indexed="17"/>
  </sheetPr>
  <dimension ref="A1:K64"/>
  <sheetViews>
    <sheetView showGridLines="0" topLeftCell="A4" workbookViewId="0">
      <selection activeCell="B9" sqref="B9:C9"/>
    </sheetView>
  </sheetViews>
  <sheetFormatPr defaultColWidth="9.109375" defaultRowHeight="13.2" x14ac:dyDescent="0.25"/>
  <cols>
    <col min="1" max="1" width="19" customWidth="1"/>
    <col min="2" max="11" width="7.44140625" customWidth="1"/>
    <col min="12" max="12" width="1.109375" customWidth="1"/>
  </cols>
  <sheetData>
    <row r="1" spans="1:11" x14ac:dyDescent="0.25">
      <c r="D1" s="423"/>
      <c r="E1" s="423"/>
      <c r="F1" s="423"/>
      <c r="G1" s="423"/>
      <c r="H1" s="423"/>
      <c r="I1" s="423"/>
      <c r="J1" s="423"/>
      <c r="K1" s="423"/>
    </row>
    <row r="2" spans="1:11" ht="12" customHeight="1" x14ac:dyDescent="0.25">
      <c r="D2" s="423"/>
      <c r="E2" s="423"/>
      <c r="F2" s="423"/>
      <c r="G2" s="423"/>
      <c r="H2" s="423"/>
      <c r="I2" s="423"/>
      <c r="J2" s="423"/>
      <c r="K2" s="423"/>
    </row>
    <row r="3" spans="1:11" x14ac:dyDescent="0.25">
      <c r="D3" s="423"/>
      <c r="E3" s="423"/>
      <c r="F3" s="423"/>
      <c r="G3" s="423"/>
      <c r="H3" s="423"/>
      <c r="I3" s="423"/>
      <c r="J3" s="423"/>
      <c r="K3" s="423"/>
    </row>
    <row r="4" spans="1:11" x14ac:dyDescent="0.25">
      <c r="D4" s="423"/>
      <c r="E4" s="423"/>
      <c r="F4" s="423"/>
      <c r="G4" s="423"/>
      <c r="H4" s="423"/>
      <c r="I4" s="423"/>
      <c r="J4" s="423"/>
      <c r="K4" s="423"/>
    </row>
    <row r="5" spans="1:11" x14ac:dyDescent="0.25">
      <c r="D5" s="423"/>
      <c r="E5" s="423"/>
      <c r="F5" s="423"/>
      <c r="G5" s="423"/>
      <c r="H5" s="423"/>
      <c r="I5" s="423"/>
      <c r="J5" s="423"/>
      <c r="K5" s="423"/>
    </row>
    <row r="6" spans="1:11" x14ac:dyDescent="0.25">
      <c r="D6" s="423"/>
      <c r="E6" s="423"/>
      <c r="F6" s="423"/>
      <c r="G6" s="423"/>
      <c r="H6" s="423"/>
      <c r="I6" s="423"/>
      <c r="J6" s="423"/>
      <c r="K6" s="423"/>
    </row>
    <row r="7" spans="1:11" ht="20.100000000000001" customHeight="1" x14ac:dyDescent="0.3">
      <c r="A7" s="1" t="s">
        <v>70</v>
      </c>
      <c r="B7" s="379" t="s">
        <v>435</v>
      </c>
      <c r="C7" s="380"/>
      <c r="D7" s="380"/>
      <c r="H7" s="380"/>
    </row>
    <row r="8" spans="1:11" ht="3" customHeight="1" x14ac:dyDescent="0.3">
      <c r="B8" s="2"/>
      <c r="D8" s="380"/>
      <c r="H8" s="380"/>
    </row>
    <row r="9" spans="1:11" ht="20.100000000000001" customHeight="1" x14ac:dyDescent="0.3">
      <c r="A9" s="1" t="s">
        <v>67</v>
      </c>
      <c r="B9" s="388">
        <f>'Objednávka žaluzií'!N9</f>
        <v>36</v>
      </c>
      <c r="C9" s="389"/>
      <c r="D9" s="380"/>
      <c r="H9" s="380"/>
    </row>
    <row r="10" spans="1:11" ht="3" customHeight="1" x14ac:dyDescent="0.3">
      <c r="A10" s="1"/>
    </row>
    <row r="11" spans="1:11" ht="17.399999999999999" x14ac:dyDescent="0.3">
      <c r="A11" s="1" t="s">
        <v>68</v>
      </c>
      <c r="B11" s="388">
        <f>'Objednávka žaluzií'!N11</f>
        <v>36</v>
      </c>
      <c r="C11" s="389"/>
    </row>
    <row r="12" spans="1:11" ht="3" customHeight="1" x14ac:dyDescent="0.3">
      <c r="A12" s="1"/>
    </row>
    <row r="13" spans="1:11" ht="17.399999999999999" x14ac:dyDescent="0.3">
      <c r="A13" s="1" t="s">
        <v>69</v>
      </c>
      <c r="B13" s="388">
        <f>'Objednávka žaluzií'!T13</f>
        <v>0</v>
      </c>
      <c r="C13" s="389"/>
    </row>
    <row r="14" spans="1:11" ht="3" customHeight="1" x14ac:dyDescent="0.25"/>
    <row r="15" spans="1:11" ht="17.399999999999999" x14ac:dyDescent="0.3">
      <c r="A15" s="1" t="s">
        <v>71</v>
      </c>
      <c r="B15" s="381"/>
      <c r="C15" s="380"/>
    </row>
    <row r="16" spans="1:11" ht="3" customHeight="1" x14ac:dyDescent="0.25"/>
    <row r="17" spans="1:11" ht="20.100000000000001" customHeight="1" x14ac:dyDescent="0.3">
      <c r="A17" s="140" t="str">
        <f>IF(výpočty!$U$14=1,výpočty!R14,výpočty!R15)</f>
        <v>Pionowy (z góry na dół)</v>
      </c>
      <c r="B17" s="127"/>
    </row>
    <row r="18" spans="1:11" x14ac:dyDescent="0.25">
      <c r="H18" s="128"/>
      <c r="I18" s="128"/>
      <c r="J18" s="128"/>
    </row>
    <row r="19" spans="1:11" ht="15.6" x14ac:dyDescent="0.3">
      <c r="A19" s="2" t="s">
        <v>83</v>
      </c>
    </row>
    <row r="20" spans="1:11" ht="6" customHeight="1" thickBot="1" x14ac:dyDescent="0.3"/>
    <row r="21" spans="1:11" ht="12.75" customHeight="1" thickBot="1" x14ac:dyDescent="0.3">
      <c r="A21" s="390" t="s">
        <v>87</v>
      </c>
      <c r="B21" s="391"/>
      <c r="C21" s="392"/>
      <c r="D21" s="400" t="s">
        <v>88</v>
      </c>
      <c r="E21" s="383"/>
      <c r="F21" s="400" t="s">
        <v>89</v>
      </c>
      <c r="G21" s="383"/>
      <c r="H21" s="408" t="s">
        <v>4</v>
      </c>
      <c r="I21" s="409"/>
      <c r="J21" s="424" t="s">
        <v>3</v>
      </c>
      <c r="K21" s="422"/>
    </row>
    <row r="22" spans="1:11" ht="12.75" customHeight="1" thickBot="1" x14ac:dyDescent="0.3">
      <c r="A22" s="393"/>
      <c r="B22" s="394"/>
      <c r="C22" s="395"/>
      <c r="D22" s="384"/>
      <c r="E22" s="385"/>
      <c r="F22" s="384"/>
      <c r="G22" s="385"/>
      <c r="H22" s="410"/>
      <c r="I22" s="411"/>
      <c r="J22" s="424"/>
      <c r="K22" s="422"/>
    </row>
    <row r="23" spans="1:11" ht="13.8" thickBot="1" x14ac:dyDescent="0.3">
      <c r="A23" s="396" t="s">
        <v>7</v>
      </c>
      <c r="B23" s="397"/>
      <c r="C23" s="397"/>
      <c r="D23" s="386">
        <f>IF(výpočty!$U$14=1,Kalkulace!D10,Kalkulace!D56)</f>
        <v>0</v>
      </c>
      <c r="E23" s="387"/>
      <c r="F23" s="386">
        <f>IF(výpočty!$U$14=1,Kalkulace!E10,Kalkulace!E56)</f>
        <v>0</v>
      </c>
      <c r="G23" s="387"/>
      <c r="H23" s="386">
        <f>IF(výpočty!$U$14=1,Kalkulace!F10,Kalkulace!F56)</f>
        <v>0</v>
      </c>
      <c r="I23" s="387"/>
      <c r="J23" s="386">
        <f>IF(výpočty!$U$14=1,Kalkulace!G10,Kalkulace!G56)</f>
        <v>0</v>
      </c>
      <c r="K23" s="422"/>
    </row>
    <row r="24" spans="1:11" ht="13.8" thickBot="1" x14ac:dyDescent="0.3">
      <c r="A24" s="396" t="s">
        <v>8</v>
      </c>
      <c r="B24" s="397"/>
      <c r="C24" s="397"/>
      <c r="D24" s="386">
        <f>IF(výpočty!$U$14=1,Kalkulace!D11,Kalkulace!D57)</f>
        <v>6.1848480000000006</v>
      </c>
      <c r="E24" s="387"/>
      <c r="F24" s="386">
        <f>IF(výpočty!$U$14=1,Kalkulace!E11,Kalkulace!E57)</f>
        <v>6.1848480000000006</v>
      </c>
      <c r="G24" s="387"/>
      <c r="H24" s="386" t="e">
        <f>IF(výpočty!$U$14=1,Kalkulace!F11,Kalkulace!F57)</f>
        <v>#N/A</v>
      </c>
      <c r="I24" s="387"/>
      <c r="J24" s="386">
        <f>IF(výpočty!$U$14=1,Kalkulace!G11,Kalkulace!G57)</f>
        <v>6.1848480000000006</v>
      </c>
      <c r="K24" s="422"/>
    </row>
    <row r="25" spans="1:11" ht="13.8" thickBot="1" x14ac:dyDescent="0.3">
      <c r="A25" s="396" t="s">
        <v>81</v>
      </c>
      <c r="B25" s="397"/>
      <c r="C25" s="397"/>
      <c r="D25" s="386">
        <f>IF(výpočty!$U$14=1,Kalkulace!D12,Kalkulace!D58)</f>
        <v>26.406770999999999</v>
      </c>
      <c r="E25" s="387"/>
      <c r="F25" s="386">
        <f>IF(výpočty!$U$14=1,Kalkulace!E12,Kalkulace!E58)</f>
        <v>26.406770999999999</v>
      </c>
      <c r="G25" s="387"/>
      <c r="H25" s="386" t="e">
        <f>IF(výpočty!$U$14=1,Kalkulace!F12,Kalkulace!F58)</f>
        <v>#N/A</v>
      </c>
      <c r="I25" s="387"/>
      <c r="J25" s="386">
        <f>IF(výpočty!$U$14=1,Kalkulace!G12,Kalkulace!G58)</f>
        <v>26.406770999999999</v>
      </c>
      <c r="K25" s="422"/>
    </row>
    <row r="26" spans="1:11" ht="13.8" thickBot="1" x14ac:dyDescent="0.3">
      <c r="A26" s="420" t="s">
        <v>82</v>
      </c>
      <c r="B26" s="420"/>
      <c r="C26" s="421"/>
      <c r="D26" s="386">
        <f>IF(výpočty!$U$14=1,Kalkulace!D13,Kalkulace!D59)</f>
        <v>74.646879999999996</v>
      </c>
      <c r="E26" s="387"/>
      <c r="F26" s="386">
        <f>IF(výpočty!$U$14=1,Kalkulace!E13,Kalkulace!E59)</f>
        <v>45.276469999999996</v>
      </c>
      <c r="G26" s="387"/>
      <c r="H26" s="386" t="e">
        <f>IF(výpočty!$U$14=1,Kalkulace!F13,Kalkulace!F59)</f>
        <v>#N/A</v>
      </c>
      <c r="I26" s="387"/>
      <c r="J26" s="386">
        <f>IF(výpočty!$U$14=1,Kalkulace!G13,Kalkulace!G59)</f>
        <v>171.55571</v>
      </c>
      <c r="K26" s="422"/>
    </row>
    <row r="27" spans="1:11" s="1" customFormat="1" ht="18" thickBot="1" x14ac:dyDescent="0.35">
      <c r="A27" s="404" t="s">
        <v>5</v>
      </c>
      <c r="B27" s="405"/>
      <c r="C27" s="406"/>
      <c r="D27" s="412">
        <f>SUM(D23:E26)</f>
        <v>107.23849899999999</v>
      </c>
      <c r="E27" s="413"/>
      <c r="F27" s="412">
        <f>SUM(F23:G26)</f>
        <v>77.868088999999998</v>
      </c>
      <c r="G27" s="413"/>
      <c r="H27" s="412" t="e">
        <f>SUM(H23:I26)</f>
        <v>#N/A</v>
      </c>
      <c r="I27" s="413"/>
      <c r="J27" s="412">
        <f>SUM(J23:K26)</f>
        <v>204.14732900000001</v>
      </c>
      <c r="K27" s="413"/>
    </row>
    <row r="28" spans="1:11" ht="6.75" customHeight="1" x14ac:dyDescent="0.25"/>
    <row r="29" spans="1:11" ht="15.6" x14ac:dyDescent="0.3">
      <c r="A29" s="2" t="s">
        <v>11</v>
      </c>
    </row>
    <row r="30" spans="1:11" ht="6" customHeight="1" thickBot="1" x14ac:dyDescent="0.3"/>
    <row r="31" spans="1:11" ht="12.75" customHeight="1" thickBot="1" x14ac:dyDescent="0.3">
      <c r="A31" s="390" t="s">
        <v>87</v>
      </c>
      <c r="B31" s="391"/>
      <c r="C31" s="392"/>
      <c r="D31" s="400" t="s">
        <v>88</v>
      </c>
      <c r="E31" s="383"/>
      <c r="F31" s="400" t="s">
        <v>89</v>
      </c>
      <c r="G31" s="383"/>
      <c r="H31" s="408" t="s">
        <v>4</v>
      </c>
      <c r="I31" s="409"/>
      <c r="J31" s="424" t="s">
        <v>3</v>
      </c>
      <c r="K31" s="422"/>
    </row>
    <row r="32" spans="1:11" ht="12.75" customHeight="1" thickBot="1" x14ac:dyDescent="0.3">
      <c r="A32" s="393"/>
      <c r="B32" s="394"/>
      <c r="C32" s="395"/>
      <c r="D32" s="384"/>
      <c r="E32" s="385"/>
      <c r="F32" s="384"/>
      <c r="G32" s="385"/>
      <c r="H32" s="410"/>
      <c r="I32" s="411"/>
      <c r="J32" s="424"/>
      <c r="K32" s="422"/>
    </row>
    <row r="33" spans="1:11" ht="13.8" thickBot="1" x14ac:dyDescent="0.3">
      <c r="A33" s="396" t="s">
        <v>7</v>
      </c>
      <c r="B33" s="397"/>
      <c r="C33" s="397"/>
      <c r="D33" s="386">
        <f>IF(výpočty!$U$14=1,Kalkulace!D20,Kalkulace!D66)</f>
        <v>0</v>
      </c>
      <c r="E33" s="387"/>
      <c r="F33" s="386">
        <f>IF(výpočty!$U$14=1,Kalkulace!E20,Kalkulace!E66)</f>
        <v>0</v>
      </c>
      <c r="G33" s="387"/>
      <c r="H33" s="386">
        <f>IF(výpočty!$U$14=1,Kalkulace!F20,Kalkulace!F66)</f>
        <v>0</v>
      </c>
      <c r="I33" s="387"/>
      <c r="J33" s="386">
        <f>IF(výpočty!$U$14=1,Kalkulace!G20,Kalkulace!G66)</f>
        <v>0</v>
      </c>
      <c r="K33" s="422"/>
    </row>
    <row r="34" spans="1:11" ht="13.8" thickBot="1" x14ac:dyDescent="0.3">
      <c r="A34" s="396" t="s">
        <v>8</v>
      </c>
      <c r="B34" s="397"/>
      <c r="C34" s="397"/>
      <c r="D34" s="386">
        <f>IF(výpočty!$U$14=1,Kalkulace!D21,Kalkulace!D67)</f>
        <v>4.5669880000000003</v>
      </c>
      <c r="E34" s="387"/>
      <c r="F34" s="386">
        <f>IF(výpočty!$U$14=1,Kalkulace!E21,Kalkulace!E67)</f>
        <v>4.5669880000000003</v>
      </c>
      <c r="G34" s="387"/>
      <c r="H34" s="386">
        <f>IF(výpočty!$U$14=1,Kalkulace!F21,Kalkulace!F67)</f>
        <v>12.503451999999999</v>
      </c>
      <c r="I34" s="387"/>
      <c r="J34" s="386">
        <f>IF(výpočty!$U$14=1,Kalkulace!G21,Kalkulace!G67)</f>
        <v>4.5669880000000003</v>
      </c>
      <c r="K34" s="422"/>
    </row>
    <row r="35" spans="1:11" ht="13.8" thickBot="1" x14ac:dyDescent="0.3">
      <c r="A35" s="396" t="s">
        <v>81</v>
      </c>
      <c r="B35" s="397"/>
      <c r="C35" s="397"/>
      <c r="D35" s="386">
        <f>IF(výpočty!$U$14=1,Kalkulace!D22,Kalkulace!D68)</f>
        <v>25.264606000000001</v>
      </c>
      <c r="E35" s="387"/>
      <c r="F35" s="386">
        <f>IF(výpočty!$U$14=1,Kalkulace!E22,Kalkulace!E68)</f>
        <v>25.264606000000001</v>
      </c>
      <c r="G35" s="387"/>
      <c r="H35" s="386" t="e">
        <f>IF(výpočty!$U$14=1,Kalkulace!F22,Kalkulace!F68)</f>
        <v>#N/A</v>
      </c>
      <c r="I35" s="387"/>
      <c r="J35" s="386">
        <f>IF(výpočty!$U$14=1,Kalkulace!G22,Kalkulace!G68)</f>
        <v>25.264606000000001</v>
      </c>
      <c r="K35" s="422"/>
    </row>
    <row r="36" spans="1:11" ht="13.8" thickBot="1" x14ac:dyDescent="0.3">
      <c r="A36" s="420" t="s">
        <v>82</v>
      </c>
      <c r="B36" s="420"/>
      <c r="C36" s="421"/>
      <c r="D36" s="386">
        <f>IF(výpočty!$U$14=1,Kalkulace!D23,Kalkulace!D69)</f>
        <v>74.646879999999996</v>
      </c>
      <c r="E36" s="387"/>
      <c r="F36" s="386">
        <f>IF(výpočty!$U$14=1,Kalkulace!E23,Kalkulace!E69)</f>
        <v>45.276469999999996</v>
      </c>
      <c r="G36" s="387"/>
      <c r="H36" s="386">
        <f>IF(výpočty!$U$14=1,Kalkulace!F23,Kalkulace!F69)</f>
        <v>220.142315</v>
      </c>
      <c r="I36" s="387"/>
      <c r="J36" s="386">
        <f>IF(výpočty!$U$14=1,Kalkulace!G23,Kalkulace!G69)</f>
        <v>157.22593499999999</v>
      </c>
      <c r="K36" s="422"/>
    </row>
    <row r="37" spans="1:11" s="1" customFormat="1" ht="18" thickBot="1" x14ac:dyDescent="0.35">
      <c r="A37" s="404" t="s">
        <v>5</v>
      </c>
      <c r="B37" s="405"/>
      <c r="C37" s="406"/>
      <c r="D37" s="412">
        <f>SUM(D33:E36)</f>
        <v>104.47847400000001</v>
      </c>
      <c r="E37" s="413"/>
      <c r="F37" s="412">
        <f>SUM(F33:G36)</f>
        <v>75.108063999999999</v>
      </c>
      <c r="G37" s="413"/>
      <c r="H37" s="412" t="e">
        <f>SUM(H33:I36)</f>
        <v>#N/A</v>
      </c>
      <c r="I37" s="413"/>
      <c r="J37" s="412">
        <f>SUM(J33:K36)</f>
        <v>187.05752899999999</v>
      </c>
      <c r="K37" s="413"/>
    </row>
    <row r="38" spans="1:11" ht="7.5" customHeight="1" x14ac:dyDescent="0.25"/>
    <row r="39" spans="1:11" ht="15.6" x14ac:dyDescent="0.3">
      <c r="A39" s="2" t="s">
        <v>434</v>
      </c>
      <c r="C39" s="165" t="s">
        <v>99</v>
      </c>
    </row>
    <row r="40" spans="1:11" ht="6" customHeight="1" thickBot="1" x14ac:dyDescent="0.3"/>
    <row r="41" spans="1:11" ht="12.75" customHeight="1" thickBot="1" x14ac:dyDescent="0.3">
      <c r="A41" s="398" t="s">
        <v>433</v>
      </c>
      <c r="B41" s="400" t="s">
        <v>88</v>
      </c>
      <c r="C41" s="401"/>
      <c r="D41" s="400" t="s">
        <v>89</v>
      </c>
      <c r="E41" s="383"/>
      <c r="F41" s="382" t="s">
        <v>4</v>
      </c>
      <c r="G41" s="383"/>
      <c r="H41" s="416" t="s">
        <v>3</v>
      </c>
      <c r="I41" s="417"/>
      <c r="J41" s="426" t="s">
        <v>100</v>
      </c>
      <c r="K41" s="427"/>
    </row>
    <row r="42" spans="1:11" ht="12.75" customHeight="1" thickBot="1" x14ac:dyDescent="0.3">
      <c r="A42" s="399"/>
      <c r="B42" s="402"/>
      <c r="C42" s="403"/>
      <c r="D42" s="384"/>
      <c r="E42" s="385"/>
      <c r="F42" s="384"/>
      <c r="G42" s="385"/>
      <c r="H42" s="418"/>
      <c r="I42" s="419"/>
      <c r="J42" s="428"/>
      <c r="K42" s="427"/>
    </row>
    <row r="43" spans="1:11" ht="12.75" customHeight="1" thickBot="1" x14ac:dyDescent="0.3">
      <c r="A43" s="399"/>
      <c r="B43" s="164" t="s">
        <v>98</v>
      </c>
      <c r="C43" s="130" t="s">
        <v>99</v>
      </c>
      <c r="D43" s="129" t="s">
        <v>98</v>
      </c>
      <c r="E43" s="130" t="s">
        <v>99</v>
      </c>
      <c r="F43" s="129" t="s">
        <v>98</v>
      </c>
      <c r="G43" s="130" t="s">
        <v>99</v>
      </c>
      <c r="H43" s="129" t="s">
        <v>98</v>
      </c>
      <c r="I43" s="129" t="s">
        <v>99</v>
      </c>
      <c r="J43" s="129" t="s">
        <v>98</v>
      </c>
      <c r="K43" s="130" t="s">
        <v>99</v>
      </c>
    </row>
    <row r="44" spans="1:11" ht="13.8" thickBot="1" x14ac:dyDescent="0.3">
      <c r="A44" s="148" t="s">
        <v>7</v>
      </c>
      <c r="B44" s="162">
        <f>IF(výpočty!$U$14=1,Kalkulace!D30,Kalkulace!D76)</f>
        <v>0</v>
      </c>
      <c r="C44" s="154">
        <f>IF(výpočty!$U$14=1,Kalkulace!D40,Kalkulace!D86)</f>
        <v>0</v>
      </c>
      <c r="D44" s="153">
        <f>IF(výpočty!$U$14=1,Kalkulace!E30,Kalkulace!E76)</f>
        <v>0</v>
      </c>
      <c r="E44" s="154">
        <f>IF(výpočty!$U$14=1,Kalkulace!E40,Kalkulace!E86)</f>
        <v>0</v>
      </c>
      <c r="F44" s="153">
        <f>IF(výpočty!$U$14=1,Kalkulace!F30,Kalkulace!F76)</f>
        <v>0.60260999999999998</v>
      </c>
      <c r="G44" s="153">
        <f>IF(výpočty!$U$14=1,Kalkulace!H30,Kalkulace!H76)</f>
        <v>0.60260999999999998</v>
      </c>
      <c r="H44" s="153">
        <f>IF(výpočty!$U$14=1,Kalkulace!G30,Kalkulace!G76)</f>
        <v>0</v>
      </c>
      <c r="I44" s="160">
        <f>IF(výpočty!$U$14=1,Kalkulace!H40,Kalkulace!H86)</f>
        <v>0</v>
      </c>
      <c r="J44" s="155" t="str">
        <f>IF(výpočty!$U$14=1,IF($B$11&lt;436," xxxxx",Kalkulace!G40)," xxxxx")</f>
        <v xml:space="preserve"> xxxxx</v>
      </c>
      <c r="K44" s="156" t="str">
        <f>IF(výpočty!$U$14=1,IF($B$11&lt;436," xxxxx",Kalkulace!F40)," xxxxx")</f>
        <v xml:space="preserve"> xxxxx</v>
      </c>
    </row>
    <row r="45" spans="1:11" ht="13.8" thickBot="1" x14ac:dyDescent="0.3">
      <c r="A45" s="148" t="s">
        <v>8</v>
      </c>
      <c r="B45" s="162">
        <f>IF(výpočty!$U$14=1,Kalkulace!D31,Kalkulace!D77)</f>
        <v>11.481813000000001</v>
      </c>
      <c r="C45" s="154">
        <f>IF(výpočty!$U$14=1,Kalkulace!D41,Kalkulace!D87)</f>
        <v>25.591313</v>
      </c>
      <c r="D45" s="153">
        <f>IF(výpočty!$U$14=1,Kalkulace!E31,Kalkulace!E77)</f>
        <v>11.481813000000001</v>
      </c>
      <c r="E45" s="154">
        <f>IF(výpočty!$U$14=1,Kalkulace!E41,Kalkulace!E87)</f>
        <v>25.591313</v>
      </c>
      <c r="F45" s="153">
        <f>IF(výpočty!$U$14=1,Kalkulace!F31,Kalkulace!F77)</f>
        <v>18.537687000000002</v>
      </c>
      <c r="G45" s="153">
        <f>IF(výpočty!$U$14=1,Kalkulace!H31,Kalkulace!H77)</f>
        <v>25.591313</v>
      </c>
      <c r="H45" s="153">
        <f>IF(výpočty!$U$14=1,Kalkulace!G31,Kalkulace!G77)</f>
        <v>11.481813000000001</v>
      </c>
      <c r="I45" s="161">
        <f>IF(výpočty!$U$14=1,Kalkulace!H41,Kalkulace!H87)</f>
        <v>25.591313</v>
      </c>
      <c r="J45" s="155" t="str">
        <f>IF(výpočty!$U$14=1,IF($B$11&lt;436," xxxxx",Kalkulace!G41)," xxxxx")</f>
        <v xml:space="preserve"> xxxxx</v>
      </c>
      <c r="K45" s="156" t="str">
        <f>IF(výpočty!$U$14=1,IF($B$11&lt;436," xxxxx",Kalkulace!F41)," xxxxx")</f>
        <v xml:space="preserve"> xxxxx</v>
      </c>
    </row>
    <row r="46" spans="1:11" ht="13.8" thickBot="1" x14ac:dyDescent="0.3">
      <c r="A46" s="36" t="s">
        <v>413</v>
      </c>
      <c r="B46" s="162">
        <f>IF(výpočty!$U$14=1,Kalkulace!D32,Kalkulace!D78)</f>
        <v>26.291857</v>
      </c>
      <c r="C46" s="154">
        <f>IF(výpočty!$U$14=1,Kalkulace!D42,Kalkulace!D88)</f>
        <v>32.191794999999999</v>
      </c>
      <c r="D46" s="153">
        <f>IF(výpočty!$U$14=1,Kalkulace!E32,Kalkulace!E78)</f>
        <v>26.291857</v>
      </c>
      <c r="E46" s="154">
        <f>IF(výpočty!$U$14=1,Kalkulace!E42,Kalkulace!E88)</f>
        <v>32.191794999999999</v>
      </c>
      <c r="F46" s="153">
        <f>IF(výpočty!$U$14=1,Kalkulace!F32,Kalkulace!F78)</f>
        <v>26.291857</v>
      </c>
      <c r="G46" s="153">
        <f>IF(výpočty!$U$14=1,Kalkulace!H32,Kalkulace!H78)</f>
        <v>32.191794999999999</v>
      </c>
      <c r="H46" s="153">
        <f>IF(výpočty!$U$14=1,Kalkulace!G32,Kalkulace!G78)</f>
        <v>26.291857</v>
      </c>
      <c r="I46" s="161">
        <f>IF(výpočty!$U$14=1,Kalkulace!H42,Kalkulace!H88)</f>
        <v>32.191794999999999</v>
      </c>
      <c r="J46" s="155" t="str">
        <f>IF(výpočty!$U$14=1,IF($B$11&lt;436," xxxxx",Kalkulace!G42)," xxxxx")</f>
        <v xml:space="preserve"> xxxxx</v>
      </c>
      <c r="K46" s="156" t="str">
        <f>IF(výpočty!$U$14=1,IF($B$11&lt;436," xxxxx",Kalkulace!F42)," xxxxx")</f>
        <v xml:space="preserve"> xxxxx</v>
      </c>
    </row>
    <row r="47" spans="1:11" ht="13.8" thickBot="1" x14ac:dyDescent="0.3">
      <c r="A47" s="148" t="s">
        <v>82</v>
      </c>
      <c r="B47" s="162">
        <f>IF(výpočty!$U$14=1,Kalkulace!D33,Kalkulace!D79)</f>
        <v>74.646879999999996</v>
      </c>
      <c r="C47" s="154">
        <f>IF(výpočty!$U$14=1,Kalkulace!D43,Kalkulace!D89)</f>
        <v>74.646879999999996</v>
      </c>
      <c r="D47" s="153">
        <f>IF(výpočty!$U$14=1,Kalkulace!E33,Kalkulace!E79)</f>
        <v>45.276469999999996</v>
      </c>
      <c r="E47" s="154">
        <f>IF(výpočty!$U$14=1,Kalkulace!E43,Kalkulace!E89)</f>
        <v>45.276469999999996</v>
      </c>
      <c r="F47" s="153">
        <f>IF(výpočty!$U$14=1,Kalkulace!F33,Kalkulace!F79)</f>
        <v>322.74766499999998</v>
      </c>
      <c r="G47" s="153">
        <f>IF(výpočty!$U$14=1,Kalkulace!H33,Kalkulace!H79)</f>
        <v>448.02091499999995</v>
      </c>
      <c r="H47" s="153">
        <f>IF(výpočty!$U$14=1,Kalkulace!G33,Kalkulace!G79)</f>
        <v>241.58213499999999</v>
      </c>
      <c r="I47" s="161">
        <f>IF(výpočty!$U$14=1,Kalkulace!H43,Kalkulace!H89)</f>
        <v>340.68933499999997</v>
      </c>
      <c r="J47" s="155" t="str">
        <f>IF(výpočty!$U$14=1,IF($B$11&lt;436," xxxxx",Kalkulace!G43)," xxxxx")</f>
        <v xml:space="preserve"> xxxxx</v>
      </c>
      <c r="K47" s="156" t="str">
        <f>IF(výpočty!$U$14=1,IF($B$11&lt;436," xxxxx",Kalkulace!F43)," xxxxx")</f>
        <v xml:space="preserve"> xxxxx</v>
      </c>
    </row>
    <row r="48" spans="1:11" ht="13.8" thickBot="1" x14ac:dyDescent="0.3">
      <c r="A48" s="27" t="s">
        <v>414</v>
      </c>
      <c r="B48" s="163" t="s">
        <v>393</v>
      </c>
      <c r="C48" s="158" t="s">
        <v>393</v>
      </c>
      <c r="D48" s="157" t="s">
        <v>393</v>
      </c>
      <c r="E48" s="158" t="s">
        <v>393</v>
      </c>
      <c r="F48" s="157" t="s">
        <v>393</v>
      </c>
      <c r="G48" s="157" t="s">
        <v>393</v>
      </c>
      <c r="H48" s="157" t="s">
        <v>393</v>
      </c>
      <c r="I48" s="158" t="s">
        <v>393</v>
      </c>
      <c r="J48" s="159" t="str">
        <f>IF($B$11&lt;436," xxxxx",G59)</f>
        <v xml:space="preserve"> xxxxx</v>
      </c>
      <c r="K48" s="156" t="str">
        <f>IF($B$11&lt;436," xxxxx",G59)</f>
        <v xml:space="preserve"> xxxxx</v>
      </c>
    </row>
    <row r="49" spans="1:11" s="1" customFormat="1" ht="18" thickBot="1" x14ac:dyDescent="0.35">
      <c r="A49" s="149" t="s">
        <v>5</v>
      </c>
      <c r="B49" s="167">
        <f t="shared" ref="B49:I49" si="0">SUM(B44:B47)</f>
        <v>112.42054999999999</v>
      </c>
      <c r="C49" s="136">
        <f t="shared" si="0"/>
        <v>132.42998799999998</v>
      </c>
      <c r="D49" s="131">
        <f t="shared" si="0"/>
        <v>83.050139999999999</v>
      </c>
      <c r="E49" s="136">
        <f t="shared" si="0"/>
        <v>103.05957799999999</v>
      </c>
      <c r="F49" s="131">
        <f t="shared" si="0"/>
        <v>368.17981899999995</v>
      </c>
      <c r="G49" s="131">
        <f t="shared" si="0"/>
        <v>506.40663299999994</v>
      </c>
      <c r="H49" s="131">
        <f t="shared" si="0"/>
        <v>279.35580499999998</v>
      </c>
      <c r="I49" s="136">
        <f t="shared" si="0"/>
        <v>398.472443</v>
      </c>
      <c r="J49" s="131">
        <f>SUM(J44:J48)</f>
        <v>0</v>
      </c>
      <c r="K49" s="136">
        <f>SUM(K44:K48)</f>
        <v>0</v>
      </c>
    </row>
    <row r="50" spans="1:11" ht="8.25" customHeight="1" x14ac:dyDescent="0.25">
      <c r="B50" s="17"/>
    </row>
    <row r="51" spans="1:11" ht="15.6" x14ac:dyDescent="0.3">
      <c r="A51" s="2" t="s">
        <v>397</v>
      </c>
    </row>
    <row r="52" spans="1:11" ht="6" customHeight="1" x14ac:dyDescent="0.3">
      <c r="A52" s="2"/>
    </row>
    <row r="53" spans="1:11" x14ac:dyDescent="0.25">
      <c r="A53" t="s">
        <v>398</v>
      </c>
      <c r="E53" s="17"/>
    </row>
    <row r="54" spans="1:11" x14ac:dyDescent="0.25">
      <c r="A54" s="17" t="str">
        <f>IF(výpočty!$A$87=0,výpočty!B88,výpočty!B87)</f>
        <v>nevyhovuje žádný SET</v>
      </c>
      <c r="B54" s="151"/>
      <c r="C54" s="17" t="str">
        <f>IF(výpočty!$A$87=0,výpočty!C88,výpočty!C87)</f>
        <v xml:space="preserve"> </v>
      </c>
      <c r="D54" s="17" t="str">
        <f>IF(výpočty!$A$87=0,výpočty!D88,výpočty!D87)</f>
        <v xml:space="preserve"> </v>
      </c>
      <c r="E54" s="151"/>
      <c r="F54" s="17" t="str">
        <f>IF(výpočty!$A$87=0,výpočty!F88,výpočty!F87)</f>
        <v xml:space="preserve"> </v>
      </c>
      <c r="G54" s="17" t="str">
        <f>IF(výpočty!$A$87=0,výpočty!G88,výpočty!G87)</f>
        <v xml:space="preserve"> </v>
      </c>
      <c r="H54" s="17"/>
    </row>
    <row r="55" spans="1:11" x14ac:dyDescent="0.25">
      <c r="A55" s="17" t="str">
        <f>výpočty!B126</f>
        <v>nevyhovuje žádný C BOX</v>
      </c>
      <c r="B55" s="152"/>
      <c r="C55" s="17" t="str">
        <f>výpočty!C126</f>
        <v xml:space="preserve"> </v>
      </c>
      <c r="D55" s="17" t="str">
        <f>výpočty!D126</f>
        <v xml:space="preserve"> </v>
      </c>
      <c r="E55" s="152"/>
      <c r="F55" s="170" t="str">
        <f>výpočty!F126</f>
        <v xml:space="preserve"> </v>
      </c>
      <c r="G55" s="169" t="str">
        <f>výpočty!G126</f>
        <v xml:space="preserve"> </v>
      </c>
      <c r="J55" s="164"/>
      <c r="K55" s="164"/>
    </row>
    <row r="56" spans="1:11" ht="7.5" customHeight="1" x14ac:dyDescent="0.25">
      <c r="J56" s="166"/>
    </row>
    <row r="57" spans="1:11" ht="16.2" thickBot="1" x14ac:dyDescent="0.35">
      <c r="A57" s="2" t="s">
        <v>117</v>
      </c>
      <c r="J57" s="166"/>
    </row>
    <row r="58" spans="1:11" ht="13.8" thickBot="1" x14ac:dyDescent="0.3">
      <c r="A58" s="132" t="s">
        <v>120</v>
      </c>
      <c r="B58" s="133"/>
      <c r="C58" s="133"/>
      <c r="D58" s="40"/>
      <c r="E58" s="425" t="s">
        <v>21</v>
      </c>
      <c r="F58" s="422"/>
      <c r="G58" s="414" t="s">
        <v>121</v>
      </c>
      <c r="H58" s="415"/>
      <c r="J58" s="166"/>
    </row>
    <row r="59" spans="1:11" x14ac:dyDescent="0.25">
      <c r="A59" t="str">
        <f>IF(výpočty!$A$110=0,výpočty!A111,výpočty!A110)</f>
        <v>nie można zastosować mech.rolet. C3</v>
      </c>
      <c r="E59" s="380" t="str">
        <f>IF(výpočty!$C$110=0,výpočty!C111,výpočty!C110)</f>
        <v>nie można zastosować mech.rolet. C3</v>
      </c>
      <c r="F59" s="380"/>
      <c r="G59" s="407" t="str">
        <f>IF(výpočty!$D$110=0,výpočty!D111,výpočty!D110)</f>
        <v>nie można zastosować mech.rolet. C3</v>
      </c>
      <c r="H59" s="380"/>
      <c r="J59" s="166"/>
    </row>
    <row r="60" spans="1:11" x14ac:dyDescent="0.25">
      <c r="A60" t="str">
        <f>výpočty!A112</f>
        <v/>
      </c>
      <c r="E60" s="380" t="str">
        <f>výpočty!C112</f>
        <v/>
      </c>
      <c r="F60" s="380"/>
      <c r="G60" s="407" t="str">
        <f>výpočty!D112</f>
        <v/>
      </c>
      <c r="H60" s="380"/>
      <c r="J60" s="166"/>
    </row>
    <row r="61" spans="1:11" x14ac:dyDescent="0.25">
      <c r="A61" t="str">
        <f>výpočty!A114</f>
        <v>RB 50/CB - pro posun nahoru</v>
      </c>
      <c r="E61" s="380" t="str">
        <f>výpočty!C114</f>
        <v>bez omezení</v>
      </c>
      <c r="F61" s="380"/>
      <c r="G61" s="407" t="e">
        <f>výpočty!D114</f>
        <v>#N/A</v>
      </c>
      <c r="H61" s="380"/>
    </row>
    <row r="62" spans="1:11" x14ac:dyDescent="0.25">
      <c r="A62" t="str">
        <f>výpočty!A115</f>
        <v>RB 3B</v>
      </c>
      <c r="E62" s="380" t="str">
        <f>výpočty!C115</f>
        <v>bez omezení</v>
      </c>
      <c r="F62" s="380"/>
      <c r="G62" s="407">
        <f>výpočty!D115</f>
        <v>18.350619999999999</v>
      </c>
      <c r="H62" s="380"/>
    </row>
    <row r="63" spans="1:11" x14ac:dyDescent="0.25">
      <c r="A63" t="str">
        <f>výpočty!A116</f>
        <v/>
      </c>
      <c r="E63" s="380" t="str">
        <f>výpočty!C116</f>
        <v/>
      </c>
      <c r="F63" s="380"/>
      <c r="G63" s="407" t="str">
        <f>výpočty!D116</f>
        <v/>
      </c>
      <c r="H63" s="380"/>
    </row>
    <row r="64" spans="1:11" x14ac:dyDescent="0.25">
      <c r="A64" t="str">
        <f>výpočty!A117</f>
        <v/>
      </c>
      <c r="E64" s="380" t="str">
        <f>výpočty!C117</f>
        <v/>
      </c>
      <c r="F64" s="380"/>
      <c r="G64" s="407" t="str">
        <f>výpočty!D117</f>
        <v/>
      </c>
      <c r="H64" s="380"/>
    </row>
  </sheetData>
  <sheetProtection selectLockedCells="1"/>
  <mergeCells count="89">
    <mergeCell ref="E64:F64"/>
    <mergeCell ref="G64:H64"/>
    <mergeCell ref="J37:K37"/>
    <mergeCell ref="J35:K35"/>
    <mergeCell ref="J36:K36"/>
    <mergeCell ref="E58:F58"/>
    <mergeCell ref="E63:F63"/>
    <mergeCell ref="D41:E42"/>
    <mergeCell ref="E62:F62"/>
    <mergeCell ref="G62:H62"/>
    <mergeCell ref="G60:H60"/>
    <mergeCell ref="G63:H63"/>
    <mergeCell ref="J41:K42"/>
    <mergeCell ref="H35:I35"/>
    <mergeCell ref="H37:I37"/>
    <mergeCell ref="F36:G36"/>
    <mergeCell ref="D1:K3"/>
    <mergeCell ref="D4:K6"/>
    <mergeCell ref="J31:K32"/>
    <mergeCell ref="D33:E33"/>
    <mergeCell ref="J27:K27"/>
    <mergeCell ref="J33:K33"/>
    <mergeCell ref="D21:E22"/>
    <mergeCell ref="F21:G22"/>
    <mergeCell ref="H21:I22"/>
    <mergeCell ref="J21:K22"/>
    <mergeCell ref="J24:K24"/>
    <mergeCell ref="J25:K25"/>
    <mergeCell ref="J23:K23"/>
    <mergeCell ref="H27:I27"/>
    <mergeCell ref="J26:K26"/>
    <mergeCell ref="H7:H9"/>
    <mergeCell ref="H23:I23"/>
    <mergeCell ref="H24:I24"/>
    <mergeCell ref="H25:I25"/>
    <mergeCell ref="J34:K34"/>
    <mergeCell ref="A35:C35"/>
    <mergeCell ref="A31:C32"/>
    <mergeCell ref="A27:C27"/>
    <mergeCell ref="D34:E34"/>
    <mergeCell ref="D35:E35"/>
    <mergeCell ref="D23:E23"/>
    <mergeCell ref="D27:E27"/>
    <mergeCell ref="F23:G23"/>
    <mergeCell ref="F24:G24"/>
    <mergeCell ref="F25:G25"/>
    <mergeCell ref="D31:E32"/>
    <mergeCell ref="F31:G32"/>
    <mergeCell ref="F27:G27"/>
    <mergeCell ref="A26:C26"/>
    <mergeCell ref="A33:C33"/>
    <mergeCell ref="H33:I33"/>
    <mergeCell ref="H36:I36"/>
    <mergeCell ref="H34:I34"/>
    <mergeCell ref="F26:G26"/>
    <mergeCell ref="H26:I26"/>
    <mergeCell ref="D26:E26"/>
    <mergeCell ref="F35:G35"/>
    <mergeCell ref="F34:G34"/>
    <mergeCell ref="A36:C36"/>
    <mergeCell ref="D36:E36"/>
    <mergeCell ref="B41:C42"/>
    <mergeCell ref="A37:C37"/>
    <mergeCell ref="G61:H61"/>
    <mergeCell ref="H31:I32"/>
    <mergeCell ref="F37:G37"/>
    <mergeCell ref="E60:F60"/>
    <mergeCell ref="E59:F59"/>
    <mergeCell ref="E61:F61"/>
    <mergeCell ref="G59:H59"/>
    <mergeCell ref="G58:H58"/>
    <mergeCell ref="H41:I42"/>
    <mergeCell ref="D37:E37"/>
    <mergeCell ref="B7:C7"/>
    <mergeCell ref="B15:C15"/>
    <mergeCell ref="F41:G42"/>
    <mergeCell ref="D24:E24"/>
    <mergeCell ref="D25:E25"/>
    <mergeCell ref="B13:C13"/>
    <mergeCell ref="B9:C9"/>
    <mergeCell ref="B11:C11"/>
    <mergeCell ref="A21:C22"/>
    <mergeCell ref="D7:D9"/>
    <mergeCell ref="F33:G33"/>
    <mergeCell ref="A34:C34"/>
    <mergeCell ref="A23:C23"/>
    <mergeCell ref="A24:C24"/>
    <mergeCell ref="A25:C25"/>
    <mergeCell ref="A41:A43"/>
  </mergeCells>
  <phoneticPr fontId="0" type="noConversion"/>
  <pageMargins left="0.39370078740157483" right="0.39370078740157483" top="0.39370078740157483" bottom="0.39370078740157483" header="0" footer="0"/>
  <pageSetup paperSize="9" orientation="portrait" horizontalDpi="300" verticalDpi="300" r:id="rId1"/>
  <headerFooter alignWithMargins="0"/>
  <ignoredErrors>
    <ignoredError sqref="E44:E47 F44:F47" 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3" r:id="rId4" name="Drop Down 9">
              <controlPr locked="0" defaultSize="0" print="0" autoLine="0" autoPict="0">
                <anchor moveWithCells="1">
                  <from>
                    <xdr:col>0</xdr:col>
                    <xdr:colOff>7620</xdr:colOff>
                    <xdr:row>15</xdr:row>
                    <xdr:rowOff>30480</xdr:rowOff>
                  </from>
                  <to>
                    <xdr:col>3</xdr:col>
                    <xdr:colOff>7620</xdr:colOff>
                    <xdr:row>17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28B7B9-A5D5-4305-83FA-EB8BF52466C2}">
  <sheetPr codeName="List10"/>
  <dimension ref="A1:BH235"/>
  <sheetViews>
    <sheetView workbookViewId="0">
      <pane xSplit="3" ySplit="1" topLeftCell="AM197" activePane="bottomRight" state="frozen"/>
      <selection pane="topRight" activeCell="D1" sqref="D1"/>
      <selection pane="bottomLeft" activeCell="A2" sqref="A2"/>
      <selection pane="bottomRight" activeCell="C214" sqref="C214"/>
    </sheetView>
  </sheetViews>
  <sheetFormatPr defaultRowHeight="13.2" x14ac:dyDescent="0.25"/>
  <cols>
    <col min="3" max="3" width="70" bestFit="1" customWidth="1"/>
    <col min="60" max="60" width="18.6640625" bestFit="1" customWidth="1"/>
  </cols>
  <sheetData>
    <row r="1" spans="1:60" x14ac:dyDescent="0.25">
      <c r="A1" t="s">
        <v>2009</v>
      </c>
      <c r="B1" t="s">
        <v>441</v>
      </c>
      <c r="C1" t="s">
        <v>618</v>
      </c>
      <c r="D1" t="s">
        <v>2010</v>
      </c>
      <c r="E1" t="s">
        <v>2011</v>
      </c>
      <c r="F1" t="s">
        <v>2012</v>
      </c>
      <c r="G1" t="s">
        <v>2013</v>
      </c>
      <c r="H1" t="s">
        <v>121</v>
      </c>
      <c r="I1" t="s">
        <v>2014</v>
      </c>
      <c r="J1" t="s">
        <v>359</v>
      </c>
      <c r="K1" t="s">
        <v>2015</v>
      </c>
      <c r="L1" t="s">
        <v>2016</v>
      </c>
      <c r="M1" t="s">
        <v>2017</v>
      </c>
      <c r="N1" t="s">
        <v>2018</v>
      </c>
      <c r="O1" t="s">
        <v>2019</v>
      </c>
      <c r="P1" t="s">
        <v>2020</v>
      </c>
      <c r="Q1" t="s">
        <v>2021</v>
      </c>
      <c r="R1" t="s">
        <v>2022</v>
      </c>
      <c r="S1" t="s">
        <v>2023</v>
      </c>
      <c r="T1" t="s">
        <v>2024</v>
      </c>
      <c r="U1" t="s">
        <v>2025</v>
      </c>
      <c r="V1" t="s">
        <v>2026</v>
      </c>
      <c r="W1" t="s">
        <v>2027</v>
      </c>
      <c r="X1" t="s">
        <v>2028</v>
      </c>
      <c r="Y1" t="s">
        <v>2029</v>
      </c>
      <c r="Z1" t="s">
        <v>619</v>
      </c>
      <c r="AA1" t="s">
        <v>2030</v>
      </c>
      <c r="AB1" t="s">
        <v>2031</v>
      </c>
      <c r="AC1" t="s">
        <v>2032</v>
      </c>
      <c r="AD1" t="s">
        <v>2033</v>
      </c>
      <c r="AE1" t="s">
        <v>620</v>
      </c>
      <c r="AF1" t="s">
        <v>2034</v>
      </c>
      <c r="AG1" t="s">
        <v>621</v>
      </c>
      <c r="AH1" t="s">
        <v>2035</v>
      </c>
      <c r="AI1" t="s">
        <v>622</v>
      </c>
      <c r="AJ1" t="s">
        <v>623</v>
      </c>
      <c r="AK1" t="s">
        <v>2036</v>
      </c>
      <c r="AL1" t="s">
        <v>2037</v>
      </c>
      <c r="AM1" t="s">
        <v>2038</v>
      </c>
      <c r="AN1" t="s">
        <v>2039</v>
      </c>
      <c r="AO1" t="s">
        <v>2040</v>
      </c>
      <c r="AP1" t="s">
        <v>2041</v>
      </c>
      <c r="AQ1" t="s">
        <v>2042</v>
      </c>
      <c r="AR1" t="s">
        <v>2043</v>
      </c>
      <c r="AS1" t="s">
        <v>2044</v>
      </c>
      <c r="AT1" t="s">
        <v>2045</v>
      </c>
      <c r="AU1" t="s">
        <v>2046</v>
      </c>
      <c r="AV1" t="s">
        <v>2047</v>
      </c>
      <c r="AW1" t="s">
        <v>2048</v>
      </c>
      <c r="AX1" t="s">
        <v>2049</v>
      </c>
      <c r="AY1" t="s">
        <v>2050</v>
      </c>
      <c r="AZ1" t="s">
        <v>2051</v>
      </c>
      <c r="BA1" t="s">
        <v>626</v>
      </c>
      <c r="BB1" t="s">
        <v>625</v>
      </c>
      <c r="BC1" t="s">
        <v>624</v>
      </c>
      <c r="BD1" t="s">
        <v>2052</v>
      </c>
      <c r="BE1" t="s">
        <v>2053</v>
      </c>
      <c r="BH1" s="321" t="s">
        <v>2069</v>
      </c>
    </row>
    <row r="2" spans="1:60" x14ac:dyDescent="0.25">
      <c r="A2">
        <v>112002</v>
      </c>
      <c r="B2" t="s">
        <v>600</v>
      </c>
      <c r="C2" t="s">
        <v>1086</v>
      </c>
      <c r="F2">
        <v>0</v>
      </c>
      <c r="G2">
        <v>222</v>
      </c>
      <c r="H2">
        <v>0</v>
      </c>
      <c r="I2">
        <v>0</v>
      </c>
      <c r="J2" t="s">
        <v>723</v>
      </c>
      <c r="L2">
        <v>1</v>
      </c>
      <c r="M2">
        <v>1</v>
      </c>
      <c r="N2">
        <v>0</v>
      </c>
      <c r="O2">
        <v>0</v>
      </c>
      <c r="R2">
        <v>0</v>
      </c>
      <c r="U2">
        <v>1</v>
      </c>
      <c r="V2">
        <v>0.42</v>
      </c>
      <c r="W2">
        <v>0</v>
      </c>
      <c r="X2">
        <v>3.1E-2</v>
      </c>
      <c r="Y2">
        <v>0</v>
      </c>
      <c r="Z2" t="s">
        <v>1925</v>
      </c>
      <c r="AA2">
        <v>10</v>
      </c>
      <c r="AB2">
        <v>1</v>
      </c>
      <c r="AC2">
        <v>1</v>
      </c>
      <c r="AD2">
        <v>0</v>
      </c>
      <c r="AE2">
        <v>96.095550000000003</v>
      </c>
      <c r="AF2">
        <v>116.27562</v>
      </c>
      <c r="AG2">
        <v>3.6508500000000002</v>
      </c>
      <c r="AH2">
        <v>4.3810200000000004</v>
      </c>
      <c r="AI2">
        <v>18.337039999999998</v>
      </c>
      <c r="AJ2" s="329">
        <v>1060.08232</v>
      </c>
      <c r="AL2">
        <v>0</v>
      </c>
      <c r="AN2" t="s">
        <v>2054</v>
      </c>
      <c r="AQ2" t="s">
        <v>1925</v>
      </c>
      <c r="AR2" t="s">
        <v>1925</v>
      </c>
      <c r="AS2" t="s">
        <v>1925</v>
      </c>
      <c r="AZ2">
        <v>0</v>
      </c>
      <c r="BA2" t="s">
        <v>1759</v>
      </c>
      <c r="BB2" t="s">
        <v>1760</v>
      </c>
      <c r="BC2" t="s">
        <v>1087</v>
      </c>
      <c r="BD2" t="s">
        <v>2055</v>
      </c>
      <c r="BE2" s="330">
        <v>43138.478356481479</v>
      </c>
      <c r="BH2" t="str">
        <f>VLOOKUP(B:B,výpočty!$Z$246:$Z$515,1,FALSE)</f>
        <v>R95844</v>
      </c>
    </row>
    <row r="3" spans="1:60" x14ac:dyDescent="0.25">
      <c r="A3">
        <v>112002</v>
      </c>
      <c r="B3" t="s">
        <v>1334</v>
      </c>
      <c r="C3" t="s">
        <v>1487</v>
      </c>
      <c r="F3">
        <v>0</v>
      </c>
      <c r="G3">
        <v>222</v>
      </c>
      <c r="H3">
        <v>0</v>
      </c>
      <c r="I3">
        <v>0</v>
      </c>
      <c r="J3" t="s">
        <v>1727</v>
      </c>
      <c r="L3">
        <v>1</v>
      </c>
      <c r="M3">
        <v>1</v>
      </c>
      <c r="N3">
        <v>1</v>
      </c>
      <c r="O3">
        <v>0</v>
      </c>
      <c r="R3">
        <v>0</v>
      </c>
      <c r="U3">
        <v>1</v>
      </c>
      <c r="V3">
        <v>1.5</v>
      </c>
      <c r="W3">
        <v>0</v>
      </c>
      <c r="X3">
        <v>6.2E-2</v>
      </c>
      <c r="Y3">
        <v>0</v>
      </c>
      <c r="Z3" t="s">
        <v>2056</v>
      </c>
      <c r="AA3">
        <v>50</v>
      </c>
      <c r="AB3">
        <v>1</v>
      </c>
      <c r="AC3">
        <v>1</v>
      </c>
      <c r="AD3">
        <v>1</v>
      </c>
      <c r="AE3">
        <v>11.983359999999999</v>
      </c>
      <c r="AF3">
        <v>14.49987</v>
      </c>
      <c r="AG3">
        <v>0.45528000000000002</v>
      </c>
      <c r="AH3">
        <v>0.54634000000000005</v>
      </c>
      <c r="AI3">
        <v>2.33066</v>
      </c>
      <c r="AJ3">
        <v>134.73738</v>
      </c>
      <c r="AL3">
        <v>0</v>
      </c>
      <c r="AN3" t="s">
        <v>2057</v>
      </c>
      <c r="AQ3" t="s">
        <v>2056</v>
      </c>
      <c r="AR3" t="s">
        <v>2056</v>
      </c>
      <c r="AS3" t="s">
        <v>2056</v>
      </c>
      <c r="AZ3">
        <v>0</v>
      </c>
      <c r="BA3" t="s">
        <v>1562</v>
      </c>
      <c r="BB3" t="s">
        <v>1561</v>
      </c>
      <c r="BC3" t="s">
        <v>1560</v>
      </c>
      <c r="BD3" t="s">
        <v>2055</v>
      </c>
      <c r="BE3" s="330">
        <v>43138.435266203705</v>
      </c>
      <c r="BH3" t="str">
        <f>VLOOKUP(B:B,výpočty!$Z$246:$Z$515,1,FALSE)</f>
        <v>R95879M</v>
      </c>
    </row>
    <row r="4" spans="1:60" x14ac:dyDescent="0.25">
      <c r="A4">
        <v>112002</v>
      </c>
      <c r="B4">
        <v>307764</v>
      </c>
      <c r="C4" t="s">
        <v>2080</v>
      </c>
      <c r="F4">
        <v>0</v>
      </c>
      <c r="G4">
        <v>222</v>
      </c>
      <c r="H4">
        <v>0</v>
      </c>
      <c r="I4">
        <v>0</v>
      </c>
      <c r="J4" t="s">
        <v>657</v>
      </c>
      <c r="L4">
        <v>1</v>
      </c>
      <c r="M4">
        <v>1</v>
      </c>
      <c r="N4">
        <v>1</v>
      </c>
      <c r="O4">
        <v>0</v>
      </c>
      <c r="R4">
        <v>0</v>
      </c>
      <c r="U4">
        <v>1</v>
      </c>
      <c r="V4">
        <v>2.0939999999999999</v>
      </c>
      <c r="W4">
        <v>0</v>
      </c>
      <c r="X4">
        <v>0.26900000000000002</v>
      </c>
      <c r="Y4">
        <v>0</v>
      </c>
      <c r="Z4" t="s">
        <v>630</v>
      </c>
      <c r="AA4">
        <v>220</v>
      </c>
      <c r="AB4">
        <v>220</v>
      </c>
      <c r="AC4">
        <v>1</v>
      </c>
      <c r="AD4">
        <v>0</v>
      </c>
      <c r="AE4">
        <v>167.84884</v>
      </c>
      <c r="AF4" s="329">
        <v>203.09710000000001</v>
      </c>
      <c r="AG4">
        <v>6.3769</v>
      </c>
      <c r="AH4">
        <v>7.6522800000000002</v>
      </c>
      <c r="AI4">
        <v>32.0291</v>
      </c>
      <c r="AJ4" s="329">
        <v>1851.6335200000001</v>
      </c>
      <c r="AL4">
        <v>0</v>
      </c>
      <c r="AN4" t="s">
        <v>2081</v>
      </c>
      <c r="AQ4" t="s">
        <v>630</v>
      </c>
      <c r="AR4" t="s">
        <v>630</v>
      </c>
      <c r="AS4" t="s">
        <v>630</v>
      </c>
      <c r="AZ4">
        <v>0</v>
      </c>
      <c r="BA4" t="s">
        <v>2082</v>
      </c>
      <c r="BB4" t="s">
        <v>2206</v>
      </c>
      <c r="BC4" t="s">
        <v>2207</v>
      </c>
      <c r="BD4" t="s">
        <v>2208</v>
      </c>
      <c r="BE4" s="330">
        <v>43333.586574074077</v>
      </c>
      <c r="BH4">
        <f>VLOOKUP(B:B,výpočty!$Z$246:$Z$515,1,FALSE)</f>
        <v>307764</v>
      </c>
    </row>
    <row r="5" spans="1:60" x14ac:dyDescent="0.25">
      <c r="A5">
        <v>112002</v>
      </c>
      <c r="B5" t="s">
        <v>589</v>
      </c>
      <c r="C5" t="s">
        <v>985</v>
      </c>
      <c r="F5">
        <v>0</v>
      </c>
      <c r="G5">
        <v>222</v>
      </c>
      <c r="H5">
        <v>0</v>
      </c>
      <c r="I5">
        <v>0</v>
      </c>
      <c r="J5" t="s">
        <v>657</v>
      </c>
      <c r="L5">
        <v>1</v>
      </c>
      <c r="M5">
        <v>1</v>
      </c>
      <c r="N5">
        <v>1</v>
      </c>
      <c r="O5">
        <v>0</v>
      </c>
      <c r="R5">
        <v>0</v>
      </c>
      <c r="U5">
        <v>1</v>
      </c>
      <c r="V5">
        <v>2.0939999999999999</v>
      </c>
      <c r="W5">
        <v>0</v>
      </c>
      <c r="X5">
        <v>0.26900000000000002</v>
      </c>
      <c r="Y5">
        <v>0</v>
      </c>
      <c r="Z5" t="s">
        <v>630</v>
      </c>
      <c r="AA5">
        <v>20</v>
      </c>
      <c r="AB5">
        <v>1</v>
      </c>
      <c r="AC5">
        <v>1</v>
      </c>
      <c r="AD5">
        <v>0</v>
      </c>
      <c r="AE5">
        <v>181.87733</v>
      </c>
      <c r="AF5">
        <v>220.07157000000001</v>
      </c>
      <c r="AG5">
        <v>6.9098600000000001</v>
      </c>
      <c r="AH5">
        <v>8.2918299999999991</v>
      </c>
      <c r="AI5">
        <v>35.373469999999998</v>
      </c>
      <c r="AJ5" s="329">
        <v>2044.97561</v>
      </c>
      <c r="AL5">
        <v>0</v>
      </c>
      <c r="AQ5" t="s">
        <v>630</v>
      </c>
      <c r="AR5" t="s">
        <v>630</v>
      </c>
      <c r="AS5" t="s">
        <v>630</v>
      </c>
      <c r="AZ5">
        <v>0</v>
      </c>
      <c r="BA5" t="s">
        <v>987</v>
      </c>
      <c r="BB5" t="s">
        <v>1447</v>
      </c>
      <c r="BC5" t="s">
        <v>986</v>
      </c>
      <c r="BD5" t="s">
        <v>2055</v>
      </c>
      <c r="BE5" s="330">
        <v>43138.470231481479</v>
      </c>
      <c r="BH5" t="str">
        <f>VLOOKUP(B:B,výpočty!$Z$246:$Z$515,1,FALSE)</f>
        <v>R92850</v>
      </c>
    </row>
    <row r="6" spans="1:60" x14ac:dyDescent="0.25">
      <c r="A6">
        <v>112002</v>
      </c>
      <c r="B6" t="s">
        <v>687</v>
      </c>
      <c r="C6" t="s">
        <v>688</v>
      </c>
      <c r="F6">
        <v>0</v>
      </c>
      <c r="G6">
        <v>222</v>
      </c>
      <c r="H6">
        <v>0</v>
      </c>
      <c r="I6">
        <v>0</v>
      </c>
      <c r="J6" t="s">
        <v>657</v>
      </c>
      <c r="L6">
        <v>1</v>
      </c>
      <c r="M6">
        <v>1</v>
      </c>
      <c r="N6">
        <v>1</v>
      </c>
      <c r="O6">
        <v>0</v>
      </c>
      <c r="R6">
        <v>0</v>
      </c>
      <c r="U6">
        <v>1</v>
      </c>
      <c r="V6">
        <v>1.0469999999999999</v>
      </c>
      <c r="W6">
        <v>0</v>
      </c>
      <c r="X6">
        <v>8.4000000000000005E-2</v>
      </c>
      <c r="Y6">
        <v>0</v>
      </c>
      <c r="Z6" t="s">
        <v>630</v>
      </c>
      <c r="AA6">
        <v>40</v>
      </c>
      <c r="AB6">
        <v>40</v>
      </c>
      <c r="AC6">
        <v>1</v>
      </c>
      <c r="AD6">
        <v>0</v>
      </c>
      <c r="AE6">
        <v>110.27301</v>
      </c>
      <c r="AF6">
        <v>133.43034</v>
      </c>
      <c r="AG6">
        <v>4.1894900000000002</v>
      </c>
      <c r="AH6">
        <v>5.0273899999999996</v>
      </c>
      <c r="AI6">
        <v>21.447099999999999</v>
      </c>
      <c r="AJ6" s="329">
        <v>1239.87761</v>
      </c>
      <c r="AL6">
        <v>0</v>
      </c>
      <c r="AQ6" t="s">
        <v>630</v>
      </c>
      <c r="AR6" t="s">
        <v>630</v>
      </c>
      <c r="AS6" t="s">
        <v>630</v>
      </c>
      <c r="AZ6">
        <v>0</v>
      </c>
      <c r="BA6" t="s">
        <v>690</v>
      </c>
      <c r="BB6" t="s">
        <v>1356</v>
      </c>
      <c r="BC6" t="s">
        <v>689</v>
      </c>
      <c r="BD6" t="s">
        <v>2055</v>
      </c>
      <c r="BE6" s="330">
        <v>43138.469108796293</v>
      </c>
      <c r="BH6" t="str">
        <f>VLOOKUP(B:B,výpočty!$Z$246:$Z$515,1,FALSE)</f>
        <v>R00024</v>
      </c>
    </row>
    <row r="7" spans="1:60" x14ac:dyDescent="0.25">
      <c r="A7">
        <v>112002</v>
      </c>
      <c r="B7" t="s">
        <v>691</v>
      </c>
      <c r="C7" t="s">
        <v>692</v>
      </c>
      <c r="F7">
        <v>0</v>
      </c>
      <c r="G7">
        <v>222</v>
      </c>
      <c r="H7">
        <v>0</v>
      </c>
      <c r="I7">
        <v>0</v>
      </c>
      <c r="J7" t="s">
        <v>657</v>
      </c>
      <c r="L7">
        <v>1</v>
      </c>
      <c r="M7">
        <v>1</v>
      </c>
      <c r="N7">
        <v>1</v>
      </c>
      <c r="O7">
        <v>0</v>
      </c>
      <c r="R7">
        <v>0</v>
      </c>
      <c r="U7">
        <v>1</v>
      </c>
      <c r="V7">
        <v>2.0939999999999999</v>
      </c>
      <c r="W7">
        <v>0</v>
      </c>
      <c r="X7">
        <v>0.45</v>
      </c>
      <c r="Y7">
        <v>0</v>
      </c>
      <c r="Z7" t="s">
        <v>630</v>
      </c>
      <c r="AA7">
        <v>20</v>
      </c>
      <c r="AB7">
        <v>1</v>
      </c>
      <c r="AC7">
        <v>1</v>
      </c>
      <c r="AD7">
        <v>0</v>
      </c>
      <c r="AE7">
        <v>140.39453</v>
      </c>
      <c r="AF7">
        <v>169.87737999999999</v>
      </c>
      <c r="AG7">
        <v>5.3338599999999996</v>
      </c>
      <c r="AH7">
        <v>6.4006299999999996</v>
      </c>
      <c r="AI7">
        <v>27.30545</v>
      </c>
      <c r="AJ7" s="329">
        <v>1578.55511</v>
      </c>
      <c r="AL7">
        <v>0</v>
      </c>
      <c r="AQ7" t="s">
        <v>630</v>
      </c>
      <c r="AR7" t="s">
        <v>630</v>
      </c>
      <c r="AS7" t="s">
        <v>630</v>
      </c>
      <c r="AZ7">
        <v>0</v>
      </c>
      <c r="BA7" t="s">
        <v>694</v>
      </c>
      <c r="BB7" t="s">
        <v>1357</v>
      </c>
      <c r="BC7" t="s">
        <v>693</v>
      </c>
      <c r="BD7" t="s">
        <v>2055</v>
      </c>
      <c r="BE7" s="330">
        <v>43138.471400462964</v>
      </c>
      <c r="BH7" t="str">
        <f>VLOOKUP(B:B,výpočty!$Z$246:$Z$515,1,FALSE)</f>
        <v>R00025</v>
      </c>
    </row>
    <row r="8" spans="1:60" x14ac:dyDescent="0.25">
      <c r="A8">
        <v>112002</v>
      </c>
      <c r="B8" t="s">
        <v>680</v>
      </c>
      <c r="C8" t="s">
        <v>681</v>
      </c>
      <c r="F8">
        <v>0</v>
      </c>
      <c r="G8">
        <v>222</v>
      </c>
      <c r="H8">
        <v>0</v>
      </c>
      <c r="I8">
        <v>0</v>
      </c>
      <c r="J8" t="s">
        <v>643</v>
      </c>
      <c r="L8">
        <v>1</v>
      </c>
      <c r="M8">
        <v>1</v>
      </c>
      <c r="N8">
        <v>1</v>
      </c>
      <c r="O8">
        <v>0</v>
      </c>
      <c r="R8">
        <v>0</v>
      </c>
      <c r="U8">
        <v>1</v>
      </c>
      <c r="V8">
        <v>0.109</v>
      </c>
      <c r="W8">
        <v>0</v>
      </c>
      <c r="X8">
        <v>7.0000000000000001E-3</v>
      </c>
      <c r="Y8">
        <v>0</v>
      </c>
      <c r="Z8" t="s">
        <v>630</v>
      </c>
      <c r="AA8" s="331">
        <v>40</v>
      </c>
      <c r="AB8" s="329">
        <v>40</v>
      </c>
      <c r="AC8">
        <v>1</v>
      </c>
      <c r="AD8">
        <v>0</v>
      </c>
      <c r="AE8">
        <v>18.753430000000002</v>
      </c>
      <c r="AF8">
        <v>22.691649999999999</v>
      </c>
      <c r="AG8">
        <v>0.71248</v>
      </c>
      <c r="AH8">
        <v>0.85497999999999996</v>
      </c>
      <c r="AI8">
        <v>3.6473800000000001</v>
      </c>
      <c r="AJ8" s="329">
        <v>210.85816</v>
      </c>
      <c r="AL8">
        <v>0</v>
      </c>
      <c r="AQ8" t="s">
        <v>630</v>
      </c>
      <c r="AR8" t="s">
        <v>630</v>
      </c>
      <c r="AS8" t="s">
        <v>630</v>
      </c>
      <c r="AZ8">
        <v>0</v>
      </c>
      <c r="BA8" t="s">
        <v>683</v>
      </c>
      <c r="BB8" t="s">
        <v>1354</v>
      </c>
      <c r="BC8" t="s">
        <v>682</v>
      </c>
      <c r="BD8" t="s">
        <v>2055</v>
      </c>
      <c r="BE8" s="330">
        <v>43138.478298611109</v>
      </c>
      <c r="BH8" t="str">
        <f>VLOOKUP(B:B,výpočty!$Z$246:$Z$515,1,FALSE)</f>
        <v>R00022</v>
      </c>
    </row>
    <row r="9" spans="1:60" x14ac:dyDescent="0.25">
      <c r="A9">
        <v>112002</v>
      </c>
      <c r="B9" t="s">
        <v>610</v>
      </c>
      <c r="C9" t="s">
        <v>720</v>
      </c>
      <c r="F9">
        <v>0</v>
      </c>
      <c r="G9">
        <v>222</v>
      </c>
      <c r="H9">
        <v>0</v>
      </c>
      <c r="I9">
        <v>0</v>
      </c>
      <c r="J9" t="s">
        <v>1727</v>
      </c>
      <c r="L9">
        <v>1</v>
      </c>
      <c r="M9">
        <v>1</v>
      </c>
      <c r="N9">
        <v>1</v>
      </c>
      <c r="O9">
        <v>0</v>
      </c>
      <c r="R9">
        <v>0</v>
      </c>
      <c r="U9">
        <v>1</v>
      </c>
      <c r="V9">
        <v>100</v>
      </c>
      <c r="W9">
        <v>0</v>
      </c>
      <c r="X9">
        <v>0.69</v>
      </c>
      <c r="Y9">
        <v>0</v>
      </c>
      <c r="Z9" t="s">
        <v>630</v>
      </c>
      <c r="AA9">
        <v>1</v>
      </c>
      <c r="AB9">
        <v>1</v>
      </c>
      <c r="AC9">
        <v>1</v>
      </c>
      <c r="AD9">
        <v>0</v>
      </c>
      <c r="AE9">
        <v>591.11955</v>
      </c>
      <c r="AF9">
        <v>715.25465999999994</v>
      </c>
      <c r="AG9">
        <v>22.45777</v>
      </c>
      <c r="AH9">
        <v>26.94932</v>
      </c>
      <c r="AI9">
        <v>114.96733999999999</v>
      </c>
      <c r="AJ9" s="329">
        <v>6646.3757699999996</v>
      </c>
      <c r="AL9">
        <v>0</v>
      </c>
      <c r="AQ9" t="s">
        <v>630</v>
      </c>
      <c r="AR9" t="s">
        <v>630</v>
      </c>
      <c r="AS9" t="s">
        <v>630</v>
      </c>
      <c r="AZ9">
        <v>0</v>
      </c>
      <c r="BA9" t="s">
        <v>1545</v>
      </c>
      <c r="BB9" t="s">
        <v>1544</v>
      </c>
      <c r="BC9" t="s">
        <v>1543</v>
      </c>
      <c r="BD9" t="s">
        <v>2055</v>
      </c>
      <c r="BE9" s="330">
        <v>43138.478414351855</v>
      </c>
      <c r="BH9" t="str">
        <f>VLOOKUP(B:B,výpočty!$Z$246:$Z$515,1,FALSE)</f>
        <v>R00037</v>
      </c>
    </row>
    <row r="10" spans="1:60" x14ac:dyDescent="0.25">
      <c r="A10">
        <v>112002</v>
      </c>
      <c r="B10" t="s">
        <v>659</v>
      </c>
      <c r="C10" t="s">
        <v>660</v>
      </c>
      <c r="F10">
        <v>0</v>
      </c>
      <c r="G10">
        <v>222</v>
      </c>
      <c r="H10">
        <v>0</v>
      </c>
      <c r="I10">
        <v>0</v>
      </c>
      <c r="J10" t="s">
        <v>1727</v>
      </c>
      <c r="L10">
        <v>1</v>
      </c>
      <c r="M10">
        <v>1</v>
      </c>
      <c r="N10">
        <v>1</v>
      </c>
      <c r="O10">
        <v>0</v>
      </c>
      <c r="R10">
        <v>0</v>
      </c>
      <c r="U10">
        <v>1</v>
      </c>
      <c r="V10">
        <v>0.65</v>
      </c>
      <c r="W10">
        <v>0</v>
      </c>
      <c r="X10">
        <v>7.0000000000000007E-2</v>
      </c>
      <c r="Y10">
        <v>0</v>
      </c>
      <c r="Z10" t="s">
        <v>630</v>
      </c>
      <c r="AA10">
        <v>50</v>
      </c>
      <c r="AB10">
        <v>50</v>
      </c>
      <c r="AC10">
        <v>1</v>
      </c>
      <c r="AD10">
        <v>0</v>
      </c>
      <c r="AE10">
        <v>44.426430000000003</v>
      </c>
      <c r="AF10">
        <v>53.755980000000001</v>
      </c>
      <c r="AG10">
        <v>1.6878500000000001</v>
      </c>
      <c r="AH10">
        <v>2.02542</v>
      </c>
      <c r="AI10">
        <v>8.6405399999999997</v>
      </c>
      <c r="AJ10">
        <v>499.51792999999998</v>
      </c>
      <c r="AL10">
        <v>0</v>
      </c>
      <c r="AQ10" t="s">
        <v>630</v>
      </c>
      <c r="AR10" t="s">
        <v>630</v>
      </c>
      <c r="AS10" t="s">
        <v>630</v>
      </c>
      <c r="AZ10">
        <v>0</v>
      </c>
      <c r="BA10" t="s">
        <v>662</v>
      </c>
      <c r="BB10" t="s">
        <v>1346</v>
      </c>
      <c r="BC10" t="s">
        <v>661</v>
      </c>
      <c r="BD10" t="s">
        <v>2055</v>
      </c>
      <c r="BE10" s="330">
        <v>43138.469085648147</v>
      </c>
      <c r="BH10" t="str">
        <f>VLOOKUP(B:B,výpočty!$Z$246:$Z$515,1,FALSE)</f>
        <v>R00014</v>
      </c>
    </row>
    <row r="11" spans="1:60" x14ac:dyDescent="0.25">
      <c r="A11">
        <v>112002</v>
      </c>
      <c r="B11" t="s">
        <v>751</v>
      </c>
      <c r="C11" t="s">
        <v>752</v>
      </c>
      <c r="F11">
        <v>0</v>
      </c>
      <c r="G11">
        <v>222</v>
      </c>
      <c r="H11">
        <v>0</v>
      </c>
      <c r="I11">
        <v>0</v>
      </c>
      <c r="J11" t="s">
        <v>643</v>
      </c>
      <c r="L11">
        <v>1</v>
      </c>
      <c r="M11">
        <v>1</v>
      </c>
      <c r="N11">
        <v>1</v>
      </c>
      <c r="O11">
        <v>0</v>
      </c>
      <c r="R11">
        <v>0</v>
      </c>
      <c r="U11">
        <v>1</v>
      </c>
      <c r="V11">
        <v>0.219</v>
      </c>
      <c r="W11">
        <v>0</v>
      </c>
      <c r="X11">
        <v>0.01</v>
      </c>
      <c r="Y11">
        <v>0</v>
      </c>
      <c r="Z11" t="s">
        <v>630</v>
      </c>
      <c r="AA11">
        <v>20</v>
      </c>
      <c r="AB11">
        <v>20</v>
      </c>
      <c r="AC11">
        <v>1</v>
      </c>
      <c r="AD11">
        <v>0</v>
      </c>
      <c r="AE11">
        <v>14.323790000000001</v>
      </c>
      <c r="AF11">
        <v>17.331790000000002</v>
      </c>
      <c r="AG11">
        <v>0.54418</v>
      </c>
      <c r="AH11">
        <v>0.65302000000000004</v>
      </c>
      <c r="AI11">
        <v>2.7858399999999999</v>
      </c>
      <c r="AJ11" s="329">
        <v>161.05262999999999</v>
      </c>
      <c r="AL11">
        <v>0</v>
      </c>
      <c r="AQ11" t="s">
        <v>630</v>
      </c>
      <c r="AR11" t="s">
        <v>630</v>
      </c>
      <c r="AS11" t="s">
        <v>630</v>
      </c>
      <c r="AZ11">
        <v>0</v>
      </c>
      <c r="BA11" t="s">
        <v>754</v>
      </c>
      <c r="BB11" t="s">
        <v>753</v>
      </c>
      <c r="BC11" t="s">
        <v>752</v>
      </c>
      <c r="BD11" t="s">
        <v>2055</v>
      </c>
      <c r="BE11" s="330">
        <v>43138.478506944448</v>
      </c>
      <c r="BH11" t="str">
        <f>VLOOKUP(B:B,výpočty!$Z$246:$Z$515,1,FALSE)</f>
        <v>R00047</v>
      </c>
    </row>
    <row r="12" spans="1:60" x14ac:dyDescent="0.25">
      <c r="A12">
        <v>112002</v>
      </c>
      <c r="B12" t="s">
        <v>746</v>
      </c>
      <c r="C12" t="s">
        <v>747</v>
      </c>
      <c r="F12">
        <v>0</v>
      </c>
      <c r="G12">
        <v>222</v>
      </c>
      <c r="H12">
        <v>0</v>
      </c>
      <c r="I12">
        <v>0</v>
      </c>
      <c r="J12" t="s">
        <v>643</v>
      </c>
      <c r="L12">
        <v>1</v>
      </c>
      <c r="M12">
        <v>1</v>
      </c>
      <c r="N12">
        <v>1</v>
      </c>
      <c r="O12">
        <v>0</v>
      </c>
      <c r="R12">
        <v>0</v>
      </c>
      <c r="U12">
        <v>1</v>
      </c>
      <c r="V12">
        <v>0.219</v>
      </c>
      <c r="W12">
        <v>0</v>
      </c>
      <c r="X12">
        <v>0.105</v>
      </c>
      <c r="Y12">
        <v>0</v>
      </c>
      <c r="Z12" t="s">
        <v>630</v>
      </c>
      <c r="AA12">
        <v>20</v>
      </c>
      <c r="AB12">
        <v>20</v>
      </c>
      <c r="AC12">
        <v>1</v>
      </c>
      <c r="AD12">
        <v>0</v>
      </c>
      <c r="AE12">
        <v>183.02341999999999</v>
      </c>
      <c r="AF12">
        <v>221.45833999999999</v>
      </c>
      <c r="AG12">
        <v>6.9534099999999999</v>
      </c>
      <c r="AH12">
        <v>8.3440899999999996</v>
      </c>
      <c r="AI12">
        <v>35.59637</v>
      </c>
      <c r="AJ12" s="329">
        <v>2057.8619100000001</v>
      </c>
      <c r="AL12">
        <v>0</v>
      </c>
      <c r="AQ12" t="s">
        <v>630</v>
      </c>
      <c r="AR12" t="s">
        <v>630</v>
      </c>
      <c r="AS12" t="s">
        <v>630</v>
      </c>
      <c r="AZ12">
        <v>0</v>
      </c>
      <c r="BA12" t="s">
        <v>750</v>
      </c>
      <c r="BB12" t="s">
        <v>749</v>
      </c>
      <c r="BC12" t="s">
        <v>748</v>
      </c>
      <c r="BD12" t="s">
        <v>2055</v>
      </c>
      <c r="BE12" s="330">
        <v>43138.478495370371</v>
      </c>
      <c r="BH12" t="str">
        <f>VLOOKUP(B:B,výpočty!$Z$246:$Z$515,1,FALSE)</f>
        <v>R00046</v>
      </c>
    </row>
    <row r="13" spans="1:60" x14ac:dyDescent="0.25">
      <c r="A13">
        <v>112002</v>
      </c>
      <c r="B13" t="s">
        <v>741</v>
      </c>
      <c r="C13" t="s">
        <v>742</v>
      </c>
      <c r="F13">
        <v>0</v>
      </c>
      <c r="G13">
        <v>222</v>
      </c>
      <c r="H13">
        <v>0</v>
      </c>
      <c r="I13">
        <v>0</v>
      </c>
      <c r="J13" t="s">
        <v>643</v>
      </c>
      <c r="L13">
        <v>1</v>
      </c>
      <c r="M13">
        <v>1</v>
      </c>
      <c r="N13">
        <v>1</v>
      </c>
      <c r="O13">
        <v>0</v>
      </c>
      <c r="R13">
        <v>0</v>
      </c>
      <c r="U13">
        <v>1</v>
      </c>
      <c r="V13">
        <v>0.219</v>
      </c>
      <c r="W13">
        <v>0</v>
      </c>
      <c r="X13">
        <v>7.2999999999999995E-2</v>
      </c>
      <c r="Y13">
        <v>0</v>
      </c>
      <c r="Z13" t="s">
        <v>630</v>
      </c>
      <c r="AA13">
        <v>20</v>
      </c>
      <c r="AB13">
        <v>20</v>
      </c>
      <c r="AC13">
        <v>1</v>
      </c>
      <c r="AD13">
        <v>0</v>
      </c>
      <c r="AE13">
        <v>146.66317000000001</v>
      </c>
      <c r="AF13">
        <v>177.46243999999999</v>
      </c>
      <c r="AG13">
        <v>5.5720200000000002</v>
      </c>
      <c r="AH13">
        <v>6.68642</v>
      </c>
      <c r="AI13">
        <v>28.524650000000001</v>
      </c>
      <c r="AJ13" s="329">
        <v>1649.0378599999999</v>
      </c>
      <c r="AL13">
        <v>0</v>
      </c>
      <c r="AQ13" t="s">
        <v>630</v>
      </c>
      <c r="AR13" t="s">
        <v>630</v>
      </c>
      <c r="AS13" t="s">
        <v>630</v>
      </c>
      <c r="AZ13">
        <v>0</v>
      </c>
      <c r="BA13" t="s">
        <v>745</v>
      </c>
      <c r="BB13" t="s">
        <v>744</v>
      </c>
      <c r="BC13" t="s">
        <v>743</v>
      </c>
      <c r="BD13" t="s">
        <v>2055</v>
      </c>
      <c r="BE13" s="330">
        <v>43138.478495370371</v>
      </c>
      <c r="BH13" t="str">
        <f>VLOOKUP(B:B,výpočty!$Z$246:$Z$515,1,FALSE)</f>
        <v>R00045</v>
      </c>
    </row>
    <row r="14" spans="1:60" x14ac:dyDescent="0.25">
      <c r="A14">
        <v>112002</v>
      </c>
      <c r="B14" t="s">
        <v>566</v>
      </c>
      <c r="C14" t="s">
        <v>701</v>
      </c>
      <c r="F14">
        <v>0</v>
      </c>
      <c r="G14">
        <v>222</v>
      </c>
      <c r="H14">
        <v>0</v>
      </c>
      <c r="I14">
        <v>0</v>
      </c>
      <c r="J14" t="s">
        <v>643</v>
      </c>
      <c r="L14">
        <v>1</v>
      </c>
      <c r="M14">
        <v>1</v>
      </c>
      <c r="N14">
        <v>1</v>
      </c>
      <c r="O14">
        <v>0</v>
      </c>
      <c r="R14">
        <v>0</v>
      </c>
      <c r="U14">
        <v>1</v>
      </c>
      <c r="V14">
        <v>0.69</v>
      </c>
      <c r="W14">
        <v>0</v>
      </c>
      <c r="X14">
        <v>4.0000000000000001E-3</v>
      </c>
      <c r="Y14">
        <v>0</v>
      </c>
      <c r="Z14" t="s">
        <v>630</v>
      </c>
      <c r="AA14">
        <v>40</v>
      </c>
      <c r="AB14">
        <v>40</v>
      </c>
      <c r="AC14">
        <v>1</v>
      </c>
      <c r="AD14">
        <v>0</v>
      </c>
      <c r="AE14">
        <v>7.2736299999999998</v>
      </c>
      <c r="AF14">
        <v>8.8010900000000003</v>
      </c>
      <c r="AG14">
        <v>0.27633999999999997</v>
      </c>
      <c r="AH14">
        <v>0.33161000000000002</v>
      </c>
      <c r="AI14">
        <v>1.4146399999999999</v>
      </c>
      <c r="AJ14">
        <v>81.782570000000007</v>
      </c>
      <c r="AL14">
        <v>0</v>
      </c>
      <c r="AQ14" t="s">
        <v>630</v>
      </c>
      <c r="AR14" t="s">
        <v>630</v>
      </c>
      <c r="AS14" t="s">
        <v>630</v>
      </c>
      <c r="AZ14">
        <v>0</v>
      </c>
      <c r="BA14" t="s">
        <v>703</v>
      </c>
      <c r="BB14" t="s">
        <v>1360</v>
      </c>
      <c r="BC14" t="s">
        <v>702</v>
      </c>
      <c r="BD14" t="s">
        <v>2055</v>
      </c>
      <c r="BE14" s="330">
        <v>43138.471446759257</v>
      </c>
      <c r="BH14" t="str">
        <f>VLOOKUP(B:B,výpočty!$Z$246:$Z$515,1,FALSE)</f>
        <v>R00028</v>
      </c>
    </row>
    <row r="15" spans="1:60" x14ac:dyDescent="0.25">
      <c r="A15">
        <v>112002</v>
      </c>
      <c r="B15" t="s">
        <v>562</v>
      </c>
      <c r="C15" t="s">
        <v>704</v>
      </c>
      <c r="F15">
        <v>0</v>
      </c>
      <c r="G15">
        <v>222</v>
      </c>
      <c r="H15">
        <v>0</v>
      </c>
      <c r="I15">
        <v>0</v>
      </c>
      <c r="J15" t="s">
        <v>643</v>
      </c>
      <c r="L15">
        <v>1</v>
      </c>
      <c r="M15">
        <v>1</v>
      </c>
      <c r="N15">
        <v>1</v>
      </c>
      <c r="O15">
        <v>0</v>
      </c>
      <c r="R15">
        <v>0</v>
      </c>
      <c r="U15">
        <v>1</v>
      </c>
      <c r="V15">
        <v>0.69</v>
      </c>
      <c r="W15">
        <v>0</v>
      </c>
      <c r="X15">
        <v>4.0000000000000001E-3</v>
      </c>
      <c r="Y15">
        <v>0</v>
      </c>
      <c r="Z15" t="s">
        <v>630</v>
      </c>
      <c r="AA15">
        <v>40</v>
      </c>
      <c r="AB15">
        <v>1</v>
      </c>
      <c r="AC15">
        <v>1</v>
      </c>
      <c r="AD15">
        <v>0</v>
      </c>
      <c r="AE15" s="329">
        <v>7.2736299999999998</v>
      </c>
      <c r="AF15" s="329">
        <v>8.8010900000000003</v>
      </c>
      <c r="AG15">
        <v>0.27633999999999997</v>
      </c>
      <c r="AH15">
        <v>0.33161000000000002</v>
      </c>
      <c r="AI15">
        <v>1.4146399999999999</v>
      </c>
      <c r="AJ15">
        <v>81.782570000000007</v>
      </c>
      <c r="AL15">
        <v>0</v>
      </c>
      <c r="AQ15" t="s">
        <v>630</v>
      </c>
      <c r="AR15" t="s">
        <v>630</v>
      </c>
      <c r="AS15" t="s">
        <v>630</v>
      </c>
      <c r="AZ15">
        <v>0</v>
      </c>
      <c r="BA15" t="s">
        <v>706</v>
      </c>
      <c r="BB15" t="s">
        <v>1361</v>
      </c>
      <c r="BC15" t="s">
        <v>705</v>
      </c>
      <c r="BD15" t="s">
        <v>2055</v>
      </c>
      <c r="BE15" s="330">
        <v>43138.474282407406</v>
      </c>
      <c r="BH15" t="str">
        <f>VLOOKUP(B:B,výpočty!$Z$246:$Z$515,1,FALSE)</f>
        <v>R00029</v>
      </c>
    </row>
    <row r="16" spans="1:60" x14ac:dyDescent="0.25">
      <c r="A16">
        <v>112002</v>
      </c>
      <c r="B16" t="s">
        <v>550</v>
      </c>
      <c r="C16" t="s">
        <v>707</v>
      </c>
      <c r="F16">
        <v>0</v>
      </c>
      <c r="G16">
        <v>222</v>
      </c>
      <c r="H16">
        <v>0</v>
      </c>
      <c r="I16">
        <v>0</v>
      </c>
      <c r="J16" t="s">
        <v>643</v>
      </c>
      <c r="L16">
        <v>1</v>
      </c>
      <c r="M16">
        <v>1</v>
      </c>
      <c r="N16">
        <v>1</v>
      </c>
      <c r="O16">
        <v>0</v>
      </c>
      <c r="R16">
        <v>0</v>
      </c>
      <c r="U16">
        <v>1</v>
      </c>
      <c r="V16">
        <v>0.69</v>
      </c>
      <c r="W16">
        <v>0</v>
      </c>
      <c r="X16">
        <v>4.0000000000000001E-3</v>
      </c>
      <c r="Y16">
        <v>0</v>
      </c>
      <c r="Z16" t="s">
        <v>630</v>
      </c>
      <c r="AA16">
        <v>40</v>
      </c>
      <c r="AB16">
        <v>40</v>
      </c>
      <c r="AC16">
        <v>1</v>
      </c>
      <c r="AD16">
        <v>0</v>
      </c>
      <c r="AE16">
        <v>7.2736299999999998</v>
      </c>
      <c r="AF16">
        <v>8.8010900000000003</v>
      </c>
      <c r="AG16">
        <v>0.27633999999999997</v>
      </c>
      <c r="AH16">
        <v>0.33161000000000002</v>
      </c>
      <c r="AI16">
        <v>1.4146399999999999</v>
      </c>
      <c r="AJ16" s="329">
        <v>81.782570000000007</v>
      </c>
      <c r="AL16">
        <v>0</v>
      </c>
      <c r="AQ16" t="s">
        <v>630</v>
      </c>
      <c r="AR16" t="s">
        <v>630</v>
      </c>
      <c r="AS16" t="s">
        <v>630</v>
      </c>
      <c r="AZ16">
        <v>0</v>
      </c>
      <c r="BA16" t="s">
        <v>709</v>
      </c>
      <c r="BB16" t="s">
        <v>1362</v>
      </c>
      <c r="BC16" t="s">
        <v>708</v>
      </c>
      <c r="BD16" t="s">
        <v>2055</v>
      </c>
      <c r="BE16" s="330">
        <v>43138.474293981482</v>
      </c>
      <c r="BH16" t="str">
        <f>VLOOKUP(B:B,výpočty!$Z$246:$Z$515,1,FALSE)</f>
        <v>R00030</v>
      </c>
    </row>
    <row r="17" spans="1:60" x14ac:dyDescent="0.25">
      <c r="A17">
        <v>112002</v>
      </c>
      <c r="B17" t="s">
        <v>567</v>
      </c>
      <c r="C17" t="s">
        <v>713</v>
      </c>
      <c r="F17">
        <v>0</v>
      </c>
      <c r="G17">
        <v>222</v>
      </c>
      <c r="H17">
        <v>0</v>
      </c>
      <c r="I17">
        <v>0</v>
      </c>
      <c r="J17" t="s">
        <v>643</v>
      </c>
      <c r="L17">
        <v>1</v>
      </c>
      <c r="M17">
        <v>1</v>
      </c>
      <c r="N17">
        <v>1</v>
      </c>
      <c r="O17">
        <v>0</v>
      </c>
      <c r="R17">
        <v>0</v>
      </c>
      <c r="U17">
        <v>1</v>
      </c>
      <c r="V17">
        <v>0.69</v>
      </c>
      <c r="W17">
        <v>0</v>
      </c>
      <c r="X17">
        <v>4.0000000000000001E-3</v>
      </c>
      <c r="Y17">
        <v>0</v>
      </c>
      <c r="Z17" t="s">
        <v>630</v>
      </c>
      <c r="AA17">
        <v>40</v>
      </c>
      <c r="AB17">
        <v>40</v>
      </c>
      <c r="AC17">
        <v>1</v>
      </c>
      <c r="AD17">
        <v>0</v>
      </c>
      <c r="AE17">
        <v>7.2736299999999998</v>
      </c>
      <c r="AF17">
        <v>8.8010900000000003</v>
      </c>
      <c r="AG17">
        <v>0.27633999999999997</v>
      </c>
      <c r="AH17">
        <v>0.33161000000000002</v>
      </c>
      <c r="AI17">
        <v>1.4146399999999999</v>
      </c>
      <c r="AJ17" s="329">
        <v>81.782570000000007</v>
      </c>
      <c r="AL17">
        <v>0</v>
      </c>
      <c r="AQ17" t="s">
        <v>630</v>
      </c>
      <c r="AR17" t="s">
        <v>630</v>
      </c>
      <c r="AS17" t="s">
        <v>630</v>
      </c>
      <c r="AZ17">
        <v>0</v>
      </c>
      <c r="BA17" t="s">
        <v>715</v>
      </c>
      <c r="BB17" t="s">
        <v>1364</v>
      </c>
      <c r="BC17" t="s">
        <v>714</v>
      </c>
      <c r="BD17" t="s">
        <v>2055</v>
      </c>
      <c r="BE17" s="330">
        <v>43138.470289351855</v>
      </c>
      <c r="BH17" t="str">
        <f>VLOOKUP(B:B,výpočty!$Z$246:$Z$515,1,FALSE)</f>
        <v>R00032</v>
      </c>
    </row>
    <row r="18" spans="1:60" x14ac:dyDescent="0.25">
      <c r="A18">
        <v>112002</v>
      </c>
      <c r="B18" t="s">
        <v>564</v>
      </c>
      <c r="C18" t="s">
        <v>695</v>
      </c>
      <c r="F18">
        <v>0</v>
      </c>
      <c r="G18">
        <v>222</v>
      </c>
      <c r="H18">
        <v>0</v>
      </c>
      <c r="I18">
        <v>0</v>
      </c>
      <c r="J18" t="s">
        <v>643</v>
      </c>
      <c r="L18">
        <v>1</v>
      </c>
      <c r="M18">
        <v>1</v>
      </c>
      <c r="N18">
        <v>1</v>
      </c>
      <c r="O18">
        <v>0</v>
      </c>
      <c r="R18">
        <v>0</v>
      </c>
      <c r="U18">
        <v>1</v>
      </c>
      <c r="V18">
        <v>0.69</v>
      </c>
      <c r="W18">
        <v>0</v>
      </c>
      <c r="X18">
        <v>4.0000000000000001E-3</v>
      </c>
      <c r="Y18">
        <v>0</v>
      </c>
      <c r="Z18" t="s">
        <v>630</v>
      </c>
      <c r="AA18">
        <v>40</v>
      </c>
      <c r="AB18">
        <v>40</v>
      </c>
      <c r="AC18">
        <v>1</v>
      </c>
      <c r="AD18">
        <v>0</v>
      </c>
      <c r="AE18">
        <v>7.2736299999999998</v>
      </c>
      <c r="AF18">
        <v>8.8010900000000003</v>
      </c>
      <c r="AG18">
        <v>0.27633999999999997</v>
      </c>
      <c r="AH18">
        <v>0.33161000000000002</v>
      </c>
      <c r="AI18">
        <v>1.4146399999999999</v>
      </c>
      <c r="AJ18" s="329">
        <v>81.782570000000007</v>
      </c>
      <c r="AL18">
        <v>0</v>
      </c>
      <c r="AQ18" t="s">
        <v>630</v>
      </c>
      <c r="AR18" t="s">
        <v>630</v>
      </c>
      <c r="AS18" t="s">
        <v>630</v>
      </c>
      <c r="AZ18">
        <v>0</v>
      </c>
      <c r="BA18" t="s">
        <v>697</v>
      </c>
      <c r="BB18" t="s">
        <v>1358</v>
      </c>
      <c r="BC18" t="s">
        <v>696</v>
      </c>
      <c r="BD18" t="s">
        <v>2055</v>
      </c>
      <c r="BE18" s="330">
        <v>43138.471435185187</v>
      </c>
      <c r="BH18" t="str">
        <f>VLOOKUP(B:B,výpočty!$Z$246:$Z$515,1,FALSE)</f>
        <v>R00026</v>
      </c>
    </row>
    <row r="19" spans="1:60" x14ac:dyDescent="0.25">
      <c r="A19">
        <v>112002</v>
      </c>
      <c r="B19" t="s">
        <v>563</v>
      </c>
      <c r="C19" t="s">
        <v>698</v>
      </c>
      <c r="F19">
        <v>0</v>
      </c>
      <c r="G19">
        <v>222</v>
      </c>
      <c r="H19">
        <v>0</v>
      </c>
      <c r="I19">
        <v>0</v>
      </c>
      <c r="J19" t="s">
        <v>643</v>
      </c>
      <c r="L19">
        <v>1</v>
      </c>
      <c r="M19">
        <v>1</v>
      </c>
      <c r="N19">
        <v>1</v>
      </c>
      <c r="O19">
        <v>0</v>
      </c>
      <c r="R19">
        <v>0</v>
      </c>
      <c r="U19">
        <v>1</v>
      </c>
      <c r="V19">
        <v>0.69</v>
      </c>
      <c r="W19">
        <v>0</v>
      </c>
      <c r="X19">
        <v>4.0000000000000001E-3</v>
      </c>
      <c r="Y19">
        <v>0</v>
      </c>
      <c r="Z19" t="s">
        <v>630</v>
      </c>
      <c r="AA19">
        <v>40</v>
      </c>
      <c r="AB19">
        <v>40</v>
      </c>
      <c r="AC19">
        <v>1</v>
      </c>
      <c r="AD19">
        <v>0</v>
      </c>
      <c r="AE19">
        <v>7.2736299999999998</v>
      </c>
      <c r="AF19">
        <v>8.8010900000000003</v>
      </c>
      <c r="AG19">
        <v>0.27633999999999997</v>
      </c>
      <c r="AH19">
        <v>0.33161000000000002</v>
      </c>
      <c r="AI19">
        <v>1.4146399999999999</v>
      </c>
      <c r="AJ19" s="329">
        <v>81.782570000000007</v>
      </c>
      <c r="AL19">
        <v>0</v>
      </c>
      <c r="AQ19" t="s">
        <v>630</v>
      </c>
      <c r="AR19" t="s">
        <v>630</v>
      </c>
      <c r="AS19" t="s">
        <v>630</v>
      </c>
      <c r="AZ19">
        <v>0</v>
      </c>
      <c r="BA19" t="s">
        <v>700</v>
      </c>
      <c r="BB19" t="s">
        <v>1359</v>
      </c>
      <c r="BC19" t="s">
        <v>699</v>
      </c>
      <c r="BD19" t="s">
        <v>2055</v>
      </c>
      <c r="BE19" s="330">
        <v>43138.471446759257</v>
      </c>
      <c r="BH19" t="str">
        <f>VLOOKUP(B:B,výpočty!$Z$246:$Z$515,1,FALSE)</f>
        <v>R00027</v>
      </c>
    </row>
    <row r="20" spans="1:60" x14ac:dyDescent="0.25">
      <c r="A20">
        <v>112002</v>
      </c>
      <c r="B20" t="s">
        <v>565</v>
      </c>
      <c r="C20" t="s">
        <v>710</v>
      </c>
      <c r="F20">
        <v>0</v>
      </c>
      <c r="G20">
        <v>222</v>
      </c>
      <c r="H20">
        <v>0</v>
      </c>
      <c r="I20">
        <v>0</v>
      </c>
      <c r="J20" t="s">
        <v>643</v>
      </c>
      <c r="L20">
        <v>1</v>
      </c>
      <c r="M20">
        <v>1</v>
      </c>
      <c r="N20">
        <v>1</v>
      </c>
      <c r="O20">
        <v>0</v>
      </c>
      <c r="R20">
        <v>0</v>
      </c>
      <c r="U20">
        <v>1</v>
      </c>
      <c r="V20">
        <v>0.69</v>
      </c>
      <c r="W20">
        <v>0</v>
      </c>
      <c r="X20">
        <v>4.0000000000000001E-3</v>
      </c>
      <c r="Y20">
        <v>0</v>
      </c>
      <c r="Z20" t="s">
        <v>630</v>
      </c>
      <c r="AA20" s="331">
        <v>40</v>
      </c>
      <c r="AB20" s="329">
        <v>40</v>
      </c>
      <c r="AC20">
        <v>1</v>
      </c>
      <c r="AD20">
        <v>0</v>
      </c>
      <c r="AE20">
        <v>7.2736299999999998</v>
      </c>
      <c r="AF20">
        <v>8.8010900000000003</v>
      </c>
      <c r="AG20">
        <v>0.27633999999999997</v>
      </c>
      <c r="AH20">
        <v>0.33161000000000002</v>
      </c>
      <c r="AI20">
        <v>1.4146399999999999</v>
      </c>
      <c r="AJ20" s="329">
        <v>81.782570000000007</v>
      </c>
      <c r="AL20">
        <v>0</v>
      </c>
      <c r="AQ20" t="s">
        <v>630</v>
      </c>
      <c r="AR20" t="s">
        <v>630</v>
      </c>
      <c r="AS20" t="s">
        <v>630</v>
      </c>
      <c r="AZ20">
        <v>0</v>
      </c>
      <c r="BA20" t="s">
        <v>712</v>
      </c>
      <c r="BB20" t="s">
        <v>1363</v>
      </c>
      <c r="BC20" t="s">
        <v>711</v>
      </c>
      <c r="BD20" t="s">
        <v>2055</v>
      </c>
      <c r="BE20" s="330">
        <v>43138.469166666669</v>
      </c>
      <c r="BH20" t="str">
        <f>VLOOKUP(B:B,výpočty!$Z$246:$Z$515,1,FALSE)</f>
        <v>R00031</v>
      </c>
    </row>
    <row r="21" spans="1:60" x14ac:dyDescent="0.25">
      <c r="A21">
        <v>112002</v>
      </c>
      <c r="B21" t="s">
        <v>561</v>
      </c>
      <c r="C21" t="s">
        <v>670</v>
      </c>
      <c r="F21">
        <v>0</v>
      </c>
      <c r="G21">
        <v>222</v>
      </c>
      <c r="H21">
        <v>0</v>
      </c>
      <c r="I21">
        <v>0</v>
      </c>
      <c r="J21" t="s">
        <v>643</v>
      </c>
      <c r="L21">
        <v>1</v>
      </c>
      <c r="M21">
        <v>1</v>
      </c>
      <c r="N21">
        <v>1</v>
      </c>
      <c r="O21">
        <v>0</v>
      </c>
      <c r="R21">
        <v>0</v>
      </c>
      <c r="U21">
        <v>1</v>
      </c>
      <c r="V21">
        <v>0.69</v>
      </c>
      <c r="W21">
        <v>0</v>
      </c>
      <c r="X21">
        <v>1.7000000000000001E-2</v>
      </c>
      <c r="Y21">
        <v>0</v>
      </c>
      <c r="Z21" t="s">
        <v>630</v>
      </c>
      <c r="AA21">
        <v>40</v>
      </c>
      <c r="AB21">
        <v>1</v>
      </c>
      <c r="AC21">
        <v>1</v>
      </c>
      <c r="AD21">
        <v>0</v>
      </c>
      <c r="AE21">
        <v>9.0900599999999994</v>
      </c>
      <c r="AF21">
        <v>10.99897</v>
      </c>
      <c r="AG21">
        <v>0.34536</v>
      </c>
      <c r="AH21">
        <v>0.41443000000000002</v>
      </c>
      <c r="AI21">
        <v>1.7679400000000001</v>
      </c>
      <c r="AJ21" s="329">
        <v>102.20607</v>
      </c>
      <c r="AL21">
        <v>0</v>
      </c>
      <c r="AQ21" t="s">
        <v>630</v>
      </c>
      <c r="AR21" t="s">
        <v>630</v>
      </c>
      <c r="AS21" t="s">
        <v>630</v>
      </c>
      <c r="AZ21">
        <v>0</v>
      </c>
      <c r="BA21" t="s">
        <v>1845</v>
      </c>
      <c r="BB21" t="s">
        <v>1350</v>
      </c>
      <c r="BC21" t="s">
        <v>671</v>
      </c>
      <c r="BD21" t="s">
        <v>2055</v>
      </c>
      <c r="BE21" s="330">
        <v>43138.471388888887</v>
      </c>
      <c r="BH21" t="str">
        <f>VLOOKUP(B:B,výpočty!$Z$246:$Z$515,1,FALSE)</f>
        <v>R00018</v>
      </c>
    </row>
    <row r="22" spans="1:60" x14ac:dyDescent="0.25">
      <c r="A22">
        <v>112002</v>
      </c>
      <c r="B22" t="s">
        <v>560</v>
      </c>
      <c r="C22" t="s">
        <v>672</v>
      </c>
      <c r="F22">
        <v>0</v>
      </c>
      <c r="G22">
        <v>222</v>
      </c>
      <c r="H22">
        <v>0</v>
      </c>
      <c r="I22">
        <v>0</v>
      </c>
      <c r="J22" t="s">
        <v>643</v>
      </c>
      <c r="L22">
        <v>1</v>
      </c>
      <c r="M22">
        <v>1</v>
      </c>
      <c r="N22">
        <v>1</v>
      </c>
      <c r="O22">
        <v>0</v>
      </c>
      <c r="R22">
        <v>0</v>
      </c>
      <c r="U22">
        <v>1</v>
      </c>
      <c r="V22">
        <v>0.69</v>
      </c>
      <c r="W22">
        <v>0</v>
      </c>
      <c r="X22">
        <v>1.7000000000000001E-2</v>
      </c>
      <c r="Y22">
        <v>0</v>
      </c>
      <c r="Z22" t="s">
        <v>630</v>
      </c>
      <c r="AA22">
        <v>40</v>
      </c>
      <c r="AB22">
        <v>40</v>
      </c>
      <c r="AC22">
        <v>1</v>
      </c>
      <c r="AD22">
        <v>0</v>
      </c>
      <c r="AE22">
        <v>9.0900599999999994</v>
      </c>
      <c r="AF22">
        <v>10.99897</v>
      </c>
      <c r="AG22">
        <v>0.34536</v>
      </c>
      <c r="AH22">
        <v>0.41443000000000002</v>
      </c>
      <c r="AI22">
        <v>1.7679400000000001</v>
      </c>
      <c r="AJ22" s="329">
        <v>102.20607</v>
      </c>
      <c r="AL22">
        <v>0</v>
      </c>
      <c r="AQ22" t="s">
        <v>630</v>
      </c>
      <c r="AR22" t="s">
        <v>630</v>
      </c>
      <c r="AS22" t="s">
        <v>630</v>
      </c>
      <c r="AZ22">
        <v>0</v>
      </c>
      <c r="BA22" t="s">
        <v>1846</v>
      </c>
      <c r="BB22" t="s">
        <v>1351</v>
      </c>
      <c r="BC22" t="s">
        <v>673</v>
      </c>
      <c r="BD22" t="s">
        <v>2055</v>
      </c>
      <c r="BE22" s="330">
        <v>43138.471400462964</v>
      </c>
      <c r="BH22" t="str">
        <f>VLOOKUP(B:B,výpočty!$Z$246:$Z$515,1,FALSE)</f>
        <v>R00019</v>
      </c>
    </row>
    <row r="23" spans="1:60" x14ac:dyDescent="0.25">
      <c r="A23">
        <v>112002</v>
      </c>
      <c r="B23" t="s">
        <v>559</v>
      </c>
      <c r="C23" t="s">
        <v>666</v>
      </c>
      <c r="F23">
        <v>0</v>
      </c>
      <c r="G23">
        <v>222</v>
      </c>
      <c r="H23">
        <v>0</v>
      </c>
      <c r="I23">
        <v>0</v>
      </c>
      <c r="J23" t="s">
        <v>643</v>
      </c>
      <c r="L23">
        <v>1</v>
      </c>
      <c r="M23">
        <v>1</v>
      </c>
      <c r="N23">
        <v>1</v>
      </c>
      <c r="O23">
        <v>0</v>
      </c>
      <c r="R23">
        <v>0</v>
      </c>
      <c r="U23">
        <v>1</v>
      </c>
      <c r="V23">
        <v>0.69</v>
      </c>
      <c r="W23">
        <v>0</v>
      </c>
      <c r="X23">
        <v>1.7000000000000001E-2</v>
      </c>
      <c r="Y23">
        <v>0</v>
      </c>
      <c r="Z23" t="s">
        <v>630</v>
      </c>
      <c r="AA23">
        <v>40</v>
      </c>
      <c r="AB23">
        <v>40</v>
      </c>
      <c r="AC23">
        <v>1</v>
      </c>
      <c r="AD23">
        <v>0</v>
      </c>
      <c r="AE23">
        <v>9.0900599999999994</v>
      </c>
      <c r="AF23">
        <v>10.99897</v>
      </c>
      <c r="AG23">
        <v>0.34536</v>
      </c>
      <c r="AH23">
        <v>0.41443000000000002</v>
      </c>
      <c r="AI23">
        <v>1.7679400000000001</v>
      </c>
      <c r="AJ23" s="329">
        <v>102.20607</v>
      </c>
      <c r="AL23">
        <v>0</v>
      </c>
      <c r="AQ23" t="s">
        <v>630</v>
      </c>
      <c r="AR23" t="s">
        <v>630</v>
      </c>
      <c r="AS23" t="s">
        <v>630</v>
      </c>
      <c r="AZ23">
        <v>0</v>
      </c>
      <c r="BA23" t="s">
        <v>1843</v>
      </c>
      <c r="BB23" t="s">
        <v>1348</v>
      </c>
      <c r="BC23" t="s">
        <v>667</v>
      </c>
      <c r="BD23" t="s">
        <v>2055</v>
      </c>
      <c r="BE23" s="330">
        <v>43138.471388888887</v>
      </c>
      <c r="BH23" t="str">
        <f>VLOOKUP(B:B,výpočty!$Z$246:$Z$515,1,FALSE)</f>
        <v>R00016</v>
      </c>
    </row>
    <row r="24" spans="1:60" x14ac:dyDescent="0.25">
      <c r="A24">
        <v>112002</v>
      </c>
      <c r="B24" t="s">
        <v>558</v>
      </c>
      <c r="C24" t="s">
        <v>668</v>
      </c>
      <c r="F24">
        <v>0</v>
      </c>
      <c r="G24">
        <v>222</v>
      </c>
      <c r="H24">
        <v>0</v>
      </c>
      <c r="I24">
        <v>0</v>
      </c>
      <c r="J24" t="s">
        <v>643</v>
      </c>
      <c r="L24">
        <v>1</v>
      </c>
      <c r="M24">
        <v>1</v>
      </c>
      <c r="N24">
        <v>1</v>
      </c>
      <c r="O24">
        <v>0</v>
      </c>
      <c r="R24">
        <v>0</v>
      </c>
      <c r="U24">
        <v>1</v>
      </c>
      <c r="V24">
        <v>0.69</v>
      </c>
      <c r="W24">
        <v>0</v>
      </c>
      <c r="X24">
        <v>1.7000000000000001E-2</v>
      </c>
      <c r="Y24">
        <v>0</v>
      </c>
      <c r="Z24" t="s">
        <v>630</v>
      </c>
      <c r="AA24">
        <v>40</v>
      </c>
      <c r="AB24">
        <v>40</v>
      </c>
      <c r="AC24">
        <v>1</v>
      </c>
      <c r="AD24">
        <v>0</v>
      </c>
      <c r="AE24">
        <v>9.0900599999999994</v>
      </c>
      <c r="AF24">
        <v>10.99897</v>
      </c>
      <c r="AG24">
        <v>0.34536</v>
      </c>
      <c r="AH24">
        <v>0.41443000000000002</v>
      </c>
      <c r="AI24">
        <v>1.7679400000000001</v>
      </c>
      <c r="AJ24">
        <v>102.20607</v>
      </c>
      <c r="AL24">
        <v>0</v>
      </c>
      <c r="AQ24" t="s">
        <v>630</v>
      </c>
      <c r="AR24" t="s">
        <v>630</v>
      </c>
      <c r="AS24" t="s">
        <v>630</v>
      </c>
      <c r="AZ24">
        <v>0</v>
      </c>
      <c r="BA24" t="s">
        <v>1844</v>
      </c>
      <c r="BB24" t="s">
        <v>1349</v>
      </c>
      <c r="BC24" t="s">
        <v>669</v>
      </c>
      <c r="BD24" t="s">
        <v>2055</v>
      </c>
      <c r="BE24" s="330">
        <v>43138.471388888887</v>
      </c>
      <c r="BH24" t="str">
        <f>VLOOKUP(B:B,výpočty!$Z$246:$Z$515,1,FALSE)</f>
        <v>R00017</v>
      </c>
    </row>
    <row r="25" spans="1:60" x14ac:dyDescent="0.25">
      <c r="A25">
        <v>112002</v>
      </c>
      <c r="B25" t="s">
        <v>677</v>
      </c>
      <c r="C25" t="s">
        <v>678</v>
      </c>
      <c r="F25">
        <v>0</v>
      </c>
      <c r="G25">
        <v>222</v>
      </c>
      <c r="H25">
        <v>0</v>
      </c>
      <c r="I25">
        <v>0</v>
      </c>
      <c r="J25" t="s">
        <v>643</v>
      </c>
      <c r="L25">
        <v>1</v>
      </c>
      <c r="M25">
        <v>1</v>
      </c>
      <c r="N25">
        <v>1</v>
      </c>
      <c r="O25">
        <v>0</v>
      </c>
      <c r="R25">
        <v>0</v>
      </c>
      <c r="U25">
        <v>1</v>
      </c>
      <c r="V25">
        <v>0.69</v>
      </c>
      <c r="W25">
        <v>0</v>
      </c>
      <c r="X25">
        <v>2.1999999999999999E-2</v>
      </c>
      <c r="Y25">
        <v>0</v>
      </c>
      <c r="Z25" t="s">
        <v>630</v>
      </c>
      <c r="AA25">
        <v>40</v>
      </c>
      <c r="AB25">
        <v>40</v>
      </c>
      <c r="AC25">
        <v>1</v>
      </c>
      <c r="AD25">
        <v>0</v>
      </c>
      <c r="AE25">
        <v>9.0900599999999994</v>
      </c>
      <c r="AF25">
        <v>10.99897</v>
      </c>
      <c r="AG25">
        <v>0.34536</v>
      </c>
      <c r="AH25">
        <v>0.41443000000000002</v>
      </c>
      <c r="AI25">
        <v>1.7679400000000001</v>
      </c>
      <c r="AJ25">
        <v>102.20607</v>
      </c>
      <c r="AL25">
        <v>0</v>
      </c>
      <c r="AQ25" t="s">
        <v>630</v>
      </c>
      <c r="AR25" t="s">
        <v>630</v>
      </c>
      <c r="AS25" t="s">
        <v>630</v>
      </c>
      <c r="AZ25">
        <v>0</v>
      </c>
      <c r="BA25" t="s">
        <v>1848</v>
      </c>
      <c r="BB25" t="s">
        <v>1353</v>
      </c>
      <c r="BC25" t="s">
        <v>679</v>
      </c>
      <c r="BD25" t="s">
        <v>2055</v>
      </c>
      <c r="BE25" s="330">
        <v>43138.469085648147</v>
      </c>
      <c r="BH25" t="str">
        <f>VLOOKUP(B:B,výpočty!$Z$246:$Z$515,1,FALSE)</f>
        <v>R00021</v>
      </c>
    </row>
    <row r="26" spans="1:60" x14ac:dyDescent="0.25">
      <c r="A26">
        <v>112002</v>
      </c>
      <c r="B26" t="s">
        <v>674</v>
      </c>
      <c r="C26" t="s">
        <v>675</v>
      </c>
      <c r="F26">
        <v>0</v>
      </c>
      <c r="G26">
        <v>222</v>
      </c>
      <c r="H26">
        <v>0</v>
      </c>
      <c r="I26">
        <v>0</v>
      </c>
      <c r="J26" t="s">
        <v>643</v>
      </c>
      <c r="L26">
        <v>1</v>
      </c>
      <c r="M26">
        <v>1</v>
      </c>
      <c r="N26">
        <v>1</v>
      </c>
      <c r="O26">
        <v>0</v>
      </c>
      <c r="R26">
        <v>0</v>
      </c>
      <c r="U26">
        <v>1</v>
      </c>
      <c r="V26">
        <v>0.69</v>
      </c>
      <c r="W26">
        <v>0</v>
      </c>
      <c r="X26">
        <v>2.1999999999999999E-2</v>
      </c>
      <c r="Y26">
        <v>0</v>
      </c>
      <c r="Z26" t="s">
        <v>630</v>
      </c>
      <c r="AA26">
        <v>40</v>
      </c>
      <c r="AB26">
        <v>40</v>
      </c>
      <c r="AC26">
        <v>1</v>
      </c>
      <c r="AD26">
        <v>0</v>
      </c>
      <c r="AE26">
        <v>9.0900599999999994</v>
      </c>
      <c r="AF26">
        <v>10.99897</v>
      </c>
      <c r="AG26">
        <v>0.34536</v>
      </c>
      <c r="AH26">
        <v>0.41443000000000002</v>
      </c>
      <c r="AI26">
        <v>1.7679400000000001</v>
      </c>
      <c r="AJ26">
        <v>102.20607</v>
      </c>
      <c r="AL26">
        <v>0</v>
      </c>
      <c r="AQ26" t="s">
        <v>630</v>
      </c>
      <c r="AR26" t="s">
        <v>630</v>
      </c>
      <c r="AS26" t="s">
        <v>630</v>
      </c>
      <c r="AZ26">
        <v>0</v>
      </c>
      <c r="BA26" t="s">
        <v>1847</v>
      </c>
      <c r="BB26" t="s">
        <v>1352</v>
      </c>
      <c r="BC26" t="s">
        <v>676</v>
      </c>
      <c r="BD26" t="s">
        <v>2055</v>
      </c>
      <c r="BE26" s="330">
        <v>43138.470208333332</v>
      </c>
      <c r="BH26" t="str">
        <f>VLOOKUP(B:B,výpočty!$Z$246:$Z$515,1,FALSE)</f>
        <v>R00020</v>
      </c>
    </row>
    <row r="27" spans="1:60" x14ac:dyDescent="0.25">
      <c r="A27">
        <v>112002</v>
      </c>
      <c r="B27" t="s">
        <v>549</v>
      </c>
      <c r="C27" t="s">
        <v>755</v>
      </c>
      <c r="F27">
        <v>0</v>
      </c>
      <c r="G27">
        <v>222</v>
      </c>
      <c r="H27">
        <v>0</v>
      </c>
      <c r="I27">
        <v>0</v>
      </c>
      <c r="J27" t="s">
        <v>1727</v>
      </c>
      <c r="L27">
        <v>1</v>
      </c>
      <c r="M27">
        <v>1</v>
      </c>
      <c r="N27">
        <v>1</v>
      </c>
      <c r="O27">
        <v>0</v>
      </c>
      <c r="R27">
        <v>0</v>
      </c>
      <c r="U27">
        <v>1</v>
      </c>
      <c r="V27">
        <v>1.1999999999999999E-3</v>
      </c>
      <c r="W27">
        <v>1.1999999999999999E-3</v>
      </c>
      <c r="X27">
        <v>1.7999999999999999E-2</v>
      </c>
      <c r="Y27">
        <v>0</v>
      </c>
      <c r="Z27" t="s">
        <v>630</v>
      </c>
      <c r="AA27" s="331">
        <v>1200</v>
      </c>
      <c r="AB27" s="329">
        <v>1200</v>
      </c>
      <c r="AC27">
        <v>1</v>
      </c>
      <c r="AD27">
        <v>0</v>
      </c>
      <c r="AE27">
        <v>55.188609999999997</v>
      </c>
      <c r="AF27">
        <v>66.778220000000005</v>
      </c>
      <c r="AG27">
        <v>2.09673</v>
      </c>
      <c r="AH27">
        <v>2.5160800000000001</v>
      </c>
      <c r="AI27">
        <v>10.73367</v>
      </c>
      <c r="AJ27">
        <v>620.52454999999998</v>
      </c>
      <c r="AL27">
        <v>0</v>
      </c>
      <c r="AQ27" t="s">
        <v>630</v>
      </c>
      <c r="AR27" t="s">
        <v>630</v>
      </c>
      <c r="AS27" t="s">
        <v>630</v>
      </c>
      <c r="AZ27">
        <v>0</v>
      </c>
      <c r="BA27" t="s">
        <v>757</v>
      </c>
      <c r="BB27" t="s">
        <v>1371</v>
      </c>
      <c r="BC27" t="s">
        <v>756</v>
      </c>
      <c r="BD27" t="s">
        <v>2058</v>
      </c>
      <c r="BE27" s="330">
        <v>43252.383194444446</v>
      </c>
      <c r="BH27" t="str">
        <f>VLOOKUP(B:B,výpočty!$Z$246:$Z$515,1,FALSE)</f>
        <v>R00048</v>
      </c>
    </row>
    <row r="28" spans="1:60" x14ac:dyDescent="0.25">
      <c r="A28">
        <v>112002</v>
      </c>
      <c r="B28" t="s">
        <v>721</v>
      </c>
      <c r="C28" t="s">
        <v>722</v>
      </c>
      <c r="F28">
        <v>0</v>
      </c>
      <c r="G28">
        <v>222</v>
      </c>
      <c r="H28">
        <v>0</v>
      </c>
      <c r="I28">
        <v>0</v>
      </c>
      <c r="J28" t="s">
        <v>723</v>
      </c>
      <c r="L28">
        <v>1</v>
      </c>
      <c r="M28">
        <v>1</v>
      </c>
      <c r="N28">
        <v>1</v>
      </c>
      <c r="O28">
        <v>0</v>
      </c>
      <c r="R28">
        <v>0</v>
      </c>
      <c r="U28">
        <v>1</v>
      </c>
      <c r="V28">
        <v>2.4</v>
      </c>
      <c r="W28">
        <v>0</v>
      </c>
      <c r="X28">
        <v>1.35</v>
      </c>
      <c r="Y28">
        <v>0</v>
      </c>
      <c r="Z28" t="s">
        <v>630</v>
      </c>
      <c r="AA28">
        <v>1</v>
      </c>
      <c r="AB28">
        <v>1</v>
      </c>
      <c r="AC28">
        <v>1</v>
      </c>
      <c r="AD28">
        <v>0</v>
      </c>
      <c r="AE28">
        <v>955.91643999999997</v>
      </c>
      <c r="AF28" s="329">
        <v>1156.6588899999999</v>
      </c>
      <c r="AG28">
        <v>36.31711</v>
      </c>
      <c r="AH28">
        <v>43.580530000000003</v>
      </c>
      <c r="AI28">
        <v>185.91695999999999</v>
      </c>
      <c r="AJ28" s="329">
        <v>10748.045609999999</v>
      </c>
      <c r="AL28">
        <v>0</v>
      </c>
      <c r="AQ28" t="s">
        <v>630</v>
      </c>
      <c r="AR28" t="s">
        <v>630</v>
      </c>
      <c r="AS28" t="s">
        <v>630</v>
      </c>
      <c r="AZ28">
        <v>0</v>
      </c>
      <c r="BA28" t="s">
        <v>725</v>
      </c>
      <c r="BB28" t="s">
        <v>1546</v>
      </c>
      <c r="BC28" t="s">
        <v>724</v>
      </c>
      <c r="BD28" t="s">
        <v>2055</v>
      </c>
      <c r="BE28" s="330">
        <v>43138.430324074077</v>
      </c>
      <c r="BH28" t="str">
        <f>VLOOKUP(B:B,výpočty!$Z$246:$Z$515,1,FALSE)</f>
        <v>R00039</v>
      </c>
    </row>
    <row r="29" spans="1:60" x14ac:dyDescent="0.25">
      <c r="A29">
        <v>112002</v>
      </c>
      <c r="B29">
        <v>228521</v>
      </c>
      <c r="C29" t="s">
        <v>2074</v>
      </c>
      <c r="F29">
        <v>0</v>
      </c>
      <c r="G29">
        <v>222</v>
      </c>
      <c r="H29">
        <v>0</v>
      </c>
      <c r="I29">
        <v>0</v>
      </c>
      <c r="J29" t="s">
        <v>1727</v>
      </c>
      <c r="L29">
        <v>1</v>
      </c>
      <c r="M29">
        <v>1</v>
      </c>
      <c r="N29">
        <v>1</v>
      </c>
      <c r="O29">
        <v>0</v>
      </c>
      <c r="R29">
        <v>0</v>
      </c>
      <c r="U29">
        <v>1</v>
      </c>
      <c r="V29">
        <v>0.45500000000000002</v>
      </c>
      <c r="W29">
        <v>0</v>
      </c>
      <c r="X29">
        <v>0.17399999999999999</v>
      </c>
      <c r="Y29">
        <v>0</v>
      </c>
      <c r="Z29" t="s">
        <v>630</v>
      </c>
      <c r="AA29">
        <v>330</v>
      </c>
      <c r="AB29">
        <v>330</v>
      </c>
      <c r="AC29">
        <v>1</v>
      </c>
      <c r="AD29">
        <v>0</v>
      </c>
      <c r="AE29">
        <v>60.820030000000003</v>
      </c>
      <c r="AF29">
        <v>73.592240000000004</v>
      </c>
      <c r="AG29">
        <v>2.31067</v>
      </c>
      <c r="AH29">
        <v>2.7728000000000002</v>
      </c>
      <c r="AI29">
        <v>11.828939999999999</v>
      </c>
      <c r="AJ29">
        <v>683.84275000000002</v>
      </c>
      <c r="AL29">
        <v>0</v>
      </c>
      <c r="AQ29" t="s">
        <v>630</v>
      </c>
      <c r="AR29" t="s">
        <v>630</v>
      </c>
      <c r="AS29" t="s">
        <v>630</v>
      </c>
      <c r="AZ29">
        <v>0</v>
      </c>
      <c r="BA29" t="s">
        <v>2075</v>
      </c>
      <c r="BB29" t="s">
        <v>2076</v>
      </c>
      <c r="BC29" t="s">
        <v>2074</v>
      </c>
      <c r="BD29" t="s">
        <v>2055</v>
      </c>
      <c r="BE29" s="330">
        <v>43138.653136574074</v>
      </c>
      <c r="BH29">
        <f>VLOOKUP(B:B,výpočty!$Z$246:$Z$515,1,FALSE)</f>
        <v>228521</v>
      </c>
    </row>
    <row r="30" spans="1:60" x14ac:dyDescent="0.25">
      <c r="A30">
        <v>112002</v>
      </c>
      <c r="B30" t="s">
        <v>633</v>
      </c>
      <c r="C30" t="s">
        <v>634</v>
      </c>
      <c r="F30">
        <v>0</v>
      </c>
      <c r="G30">
        <v>222</v>
      </c>
      <c r="H30">
        <v>0</v>
      </c>
      <c r="I30">
        <v>0</v>
      </c>
      <c r="J30" t="s">
        <v>1727</v>
      </c>
      <c r="L30">
        <v>1</v>
      </c>
      <c r="M30">
        <v>1</v>
      </c>
      <c r="N30">
        <v>1</v>
      </c>
      <c r="O30">
        <v>0</v>
      </c>
      <c r="R30">
        <v>0</v>
      </c>
      <c r="U30">
        <v>1</v>
      </c>
      <c r="V30">
        <v>0.88900000000000001</v>
      </c>
      <c r="W30">
        <v>0</v>
      </c>
      <c r="X30">
        <v>0.20300000000000001</v>
      </c>
      <c r="Y30">
        <v>0</v>
      </c>
      <c r="Z30" t="s">
        <v>630</v>
      </c>
      <c r="AA30">
        <v>112</v>
      </c>
      <c r="AB30">
        <v>2.5</v>
      </c>
      <c r="AC30">
        <v>1</v>
      </c>
      <c r="AD30">
        <v>0</v>
      </c>
      <c r="AE30">
        <v>89.470240000000004</v>
      </c>
      <c r="AF30">
        <v>108.25899</v>
      </c>
      <c r="AG30">
        <v>3.3991500000000001</v>
      </c>
      <c r="AH30">
        <v>4.0789799999999996</v>
      </c>
      <c r="AI30">
        <v>17.401140000000002</v>
      </c>
      <c r="AJ30" s="329">
        <v>1005.97723</v>
      </c>
      <c r="AL30">
        <v>0</v>
      </c>
      <c r="AQ30" t="s">
        <v>630</v>
      </c>
      <c r="AR30" t="s">
        <v>630</v>
      </c>
      <c r="AS30" t="s">
        <v>630</v>
      </c>
      <c r="AZ30">
        <v>0</v>
      </c>
      <c r="BA30" t="s">
        <v>635</v>
      </c>
      <c r="BB30" t="s">
        <v>1339</v>
      </c>
      <c r="BC30" t="s">
        <v>634</v>
      </c>
      <c r="BD30" t="s">
        <v>2055</v>
      </c>
      <c r="BE30" s="330">
        <v>43138.469050925924</v>
      </c>
      <c r="BH30" t="str">
        <f>VLOOKUP(B:B,výpočty!$Z$246:$Z$515,1,FALSE)</f>
        <v>R00002</v>
      </c>
    </row>
    <row r="31" spans="1:60" x14ac:dyDescent="0.25">
      <c r="A31">
        <v>112002</v>
      </c>
      <c r="B31" t="s">
        <v>627</v>
      </c>
      <c r="C31" t="s">
        <v>628</v>
      </c>
      <c r="F31">
        <v>0</v>
      </c>
      <c r="G31">
        <v>222</v>
      </c>
      <c r="H31">
        <v>0</v>
      </c>
      <c r="I31">
        <v>0</v>
      </c>
      <c r="J31" t="s">
        <v>1727</v>
      </c>
      <c r="L31">
        <v>1</v>
      </c>
      <c r="M31">
        <v>1</v>
      </c>
      <c r="N31">
        <v>1</v>
      </c>
      <c r="O31">
        <v>0</v>
      </c>
      <c r="R31">
        <v>0</v>
      </c>
      <c r="U31">
        <v>1</v>
      </c>
      <c r="V31">
        <v>0.88900000000000001</v>
      </c>
      <c r="W31">
        <v>0</v>
      </c>
      <c r="X31">
        <v>0.20300000000000001</v>
      </c>
      <c r="Y31">
        <v>0</v>
      </c>
      <c r="Z31" t="s">
        <v>630</v>
      </c>
      <c r="AA31">
        <v>225</v>
      </c>
      <c r="AB31">
        <v>112.5</v>
      </c>
      <c r="AC31">
        <v>1</v>
      </c>
      <c r="AD31">
        <v>0</v>
      </c>
      <c r="AE31">
        <v>89.470240000000004</v>
      </c>
      <c r="AF31">
        <v>108.25899</v>
      </c>
      <c r="AG31">
        <v>3.3991500000000001</v>
      </c>
      <c r="AH31">
        <v>4.0789799999999996</v>
      </c>
      <c r="AI31">
        <v>17.401140000000002</v>
      </c>
      <c r="AJ31" s="329">
        <v>1005.97723</v>
      </c>
      <c r="AL31">
        <v>0</v>
      </c>
      <c r="AQ31" t="s">
        <v>630</v>
      </c>
      <c r="AR31" t="s">
        <v>630</v>
      </c>
      <c r="AS31" t="s">
        <v>630</v>
      </c>
      <c r="AZ31">
        <v>0</v>
      </c>
      <c r="BA31" t="s">
        <v>632</v>
      </c>
      <c r="BB31" t="s">
        <v>1338</v>
      </c>
      <c r="BC31" t="s">
        <v>631</v>
      </c>
      <c r="BD31" t="s">
        <v>2055</v>
      </c>
      <c r="BE31" s="330">
        <v>43138.47016203704</v>
      </c>
      <c r="BH31" t="str">
        <f>VLOOKUP(B:B,výpočty!$Z$246:$Z$515,1,FALSE)</f>
        <v>R00001</v>
      </c>
    </row>
    <row r="32" spans="1:60" x14ac:dyDescent="0.25">
      <c r="A32">
        <v>112002</v>
      </c>
      <c r="B32" t="s">
        <v>638</v>
      </c>
      <c r="C32" t="s">
        <v>639</v>
      </c>
      <c r="F32">
        <v>0</v>
      </c>
      <c r="G32">
        <v>222</v>
      </c>
      <c r="H32">
        <v>0</v>
      </c>
      <c r="I32">
        <v>0</v>
      </c>
      <c r="J32" t="s">
        <v>1727</v>
      </c>
      <c r="L32">
        <v>1</v>
      </c>
      <c r="M32">
        <v>1</v>
      </c>
      <c r="N32">
        <v>1</v>
      </c>
      <c r="O32">
        <v>0</v>
      </c>
      <c r="R32">
        <v>0</v>
      </c>
      <c r="U32">
        <v>1</v>
      </c>
      <c r="V32">
        <v>0.88900000000000001</v>
      </c>
      <c r="W32">
        <v>0</v>
      </c>
      <c r="X32">
        <v>0.20300000000000001</v>
      </c>
      <c r="Y32">
        <v>0</v>
      </c>
      <c r="Z32" t="s">
        <v>630</v>
      </c>
      <c r="AA32">
        <v>225</v>
      </c>
      <c r="AB32">
        <v>112.5</v>
      </c>
      <c r="AC32">
        <v>1</v>
      </c>
      <c r="AD32">
        <v>0</v>
      </c>
      <c r="AE32">
        <v>92.421769999999995</v>
      </c>
      <c r="AF32">
        <v>111.83034000000001</v>
      </c>
      <c r="AG32">
        <v>3.5112800000000002</v>
      </c>
      <c r="AH32">
        <v>4.2135400000000001</v>
      </c>
      <c r="AI32">
        <v>17.975190000000001</v>
      </c>
      <c r="AJ32" s="329">
        <v>1039.1634799999999</v>
      </c>
      <c r="AL32">
        <v>0</v>
      </c>
      <c r="AQ32" t="s">
        <v>630</v>
      </c>
      <c r="AR32" t="s">
        <v>630</v>
      </c>
      <c r="AS32" t="s">
        <v>630</v>
      </c>
      <c r="AZ32">
        <v>0</v>
      </c>
      <c r="BA32" t="s">
        <v>640</v>
      </c>
      <c r="BB32" t="s">
        <v>1341</v>
      </c>
      <c r="BC32" t="s">
        <v>639</v>
      </c>
      <c r="BD32" t="s">
        <v>2055</v>
      </c>
      <c r="BE32" s="330">
        <v>43138.471354166664</v>
      </c>
      <c r="BH32" t="str">
        <f>VLOOKUP(B:B,výpočty!$Z$246:$Z$515,1,FALSE)</f>
        <v>R00004</v>
      </c>
    </row>
    <row r="33" spans="1:60" x14ac:dyDescent="0.25">
      <c r="A33">
        <v>112002</v>
      </c>
      <c r="B33">
        <v>202650</v>
      </c>
      <c r="C33" t="s">
        <v>2062</v>
      </c>
      <c r="F33">
        <v>0</v>
      </c>
      <c r="G33">
        <v>222</v>
      </c>
      <c r="H33">
        <v>0</v>
      </c>
      <c r="I33">
        <v>0</v>
      </c>
      <c r="J33" t="s">
        <v>1727</v>
      </c>
      <c r="L33">
        <v>1</v>
      </c>
      <c r="M33">
        <v>1</v>
      </c>
      <c r="N33">
        <v>1</v>
      </c>
      <c r="O33">
        <v>0</v>
      </c>
      <c r="R33">
        <v>0</v>
      </c>
      <c r="U33">
        <v>1</v>
      </c>
      <c r="V33">
        <v>0.45500000000000002</v>
      </c>
      <c r="W33">
        <v>0</v>
      </c>
      <c r="X33">
        <v>0.17399999999999999</v>
      </c>
      <c r="Y33">
        <v>0</v>
      </c>
      <c r="Z33" t="s">
        <v>630</v>
      </c>
      <c r="AA33">
        <v>220</v>
      </c>
      <c r="AB33">
        <v>2.5</v>
      </c>
      <c r="AC33">
        <v>1</v>
      </c>
      <c r="AD33">
        <v>0</v>
      </c>
      <c r="AE33">
        <v>66.460800000000006</v>
      </c>
      <c r="AF33">
        <v>80.417569999999998</v>
      </c>
      <c r="AG33">
        <v>2.5249700000000002</v>
      </c>
      <c r="AH33">
        <v>3.02996</v>
      </c>
      <c r="AI33">
        <v>12.6821</v>
      </c>
      <c r="AJ33">
        <v>733.16461000000004</v>
      </c>
      <c r="AL33">
        <v>0</v>
      </c>
      <c r="AQ33" t="s">
        <v>630</v>
      </c>
      <c r="AR33" t="s">
        <v>630</v>
      </c>
      <c r="AS33" t="s">
        <v>630</v>
      </c>
      <c r="AZ33">
        <v>0</v>
      </c>
      <c r="BA33" t="s">
        <v>2063</v>
      </c>
      <c r="BB33" t="s">
        <v>2064</v>
      </c>
      <c r="BC33" t="s">
        <v>2062</v>
      </c>
      <c r="BD33" t="s">
        <v>2055</v>
      </c>
      <c r="BE33" s="330">
        <v>43138.556168981479</v>
      </c>
      <c r="BH33">
        <f>VLOOKUP(B:B,výpočty!$Z$246:$Z$515,1,FALSE)</f>
        <v>202650</v>
      </c>
    </row>
    <row r="34" spans="1:60" x14ac:dyDescent="0.25">
      <c r="A34">
        <v>112002</v>
      </c>
      <c r="B34" t="s">
        <v>641</v>
      </c>
      <c r="C34" t="s">
        <v>642</v>
      </c>
      <c r="F34">
        <v>0</v>
      </c>
      <c r="G34">
        <v>222</v>
      </c>
      <c r="H34">
        <v>0</v>
      </c>
      <c r="I34">
        <v>0</v>
      </c>
      <c r="J34" t="s">
        <v>643</v>
      </c>
      <c r="L34">
        <v>1</v>
      </c>
      <c r="M34">
        <v>1</v>
      </c>
      <c r="N34">
        <v>1</v>
      </c>
      <c r="O34">
        <v>0</v>
      </c>
      <c r="R34">
        <v>0</v>
      </c>
      <c r="U34">
        <v>1</v>
      </c>
      <c r="V34">
        <v>0.1</v>
      </c>
      <c r="W34">
        <v>0</v>
      </c>
      <c r="X34">
        <v>2E-3</v>
      </c>
      <c r="Y34">
        <v>0</v>
      </c>
      <c r="Z34" t="s">
        <v>630</v>
      </c>
      <c r="AA34" s="331">
        <v>5000</v>
      </c>
      <c r="AB34" s="329">
        <v>5000</v>
      </c>
      <c r="AC34">
        <v>1</v>
      </c>
      <c r="AD34">
        <v>0</v>
      </c>
      <c r="AE34">
        <v>1.87937</v>
      </c>
      <c r="AF34">
        <v>2.2740399999999998</v>
      </c>
      <c r="AG34">
        <v>7.1400000000000005E-2</v>
      </c>
      <c r="AH34">
        <v>8.5680000000000006E-2</v>
      </c>
      <c r="AI34">
        <v>0.36553000000000002</v>
      </c>
      <c r="AJ34" s="329">
        <v>21.131209999999999</v>
      </c>
      <c r="AL34">
        <v>0</v>
      </c>
      <c r="AQ34" t="s">
        <v>630</v>
      </c>
      <c r="AR34" t="s">
        <v>630</v>
      </c>
      <c r="AS34" t="s">
        <v>630</v>
      </c>
      <c r="AZ34">
        <v>0</v>
      </c>
      <c r="BA34" t="s">
        <v>645</v>
      </c>
      <c r="BB34" t="s">
        <v>1342</v>
      </c>
      <c r="BC34" t="s">
        <v>644</v>
      </c>
      <c r="BD34" t="s">
        <v>2055</v>
      </c>
      <c r="BE34" s="330">
        <v>43138.471365740741</v>
      </c>
      <c r="BH34" t="str">
        <f>VLOOKUP(B:B,výpočty!$Z$246:$Z$515,1,FALSE)</f>
        <v>R00005</v>
      </c>
    </row>
    <row r="35" spans="1:60" x14ac:dyDescent="0.25">
      <c r="A35">
        <v>112002</v>
      </c>
      <c r="B35">
        <v>244830</v>
      </c>
      <c r="C35" t="s">
        <v>2077</v>
      </c>
      <c r="F35">
        <v>0</v>
      </c>
      <c r="G35">
        <v>222</v>
      </c>
      <c r="H35">
        <v>0</v>
      </c>
      <c r="I35">
        <v>0</v>
      </c>
      <c r="J35" t="s">
        <v>657</v>
      </c>
      <c r="L35">
        <v>1</v>
      </c>
      <c r="M35">
        <v>1</v>
      </c>
      <c r="N35">
        <v>1</v>
      </c>
      <c r="O35">
        <v>0</v>
      </c>
      <c r="R35">
        <v>0</v>
      </c>
      <c r="U35">
        <v>1</v>
      </c>
      <c r="V35">
        <v>12.24</v>
      </c>
      <c r="W35">
        <v>0</v>
      </c>
      <c r="X35">
        <v>2.2000000000000002</v>
      </c>
      <c r="Y35">
        <v>0</v>
      </c>
      <c r="Z35" t="s">
        <v>630</v>
      </c>
      <c r="AA35">
        <v>10</v>
      </c>
      <c r="AB35">
        <v>10</v>
      </c>
      <c r="AC35">
        <v>1</v>
      </c>
      <c r="AD35">
        <v>0</v>
      </c>
      <c r="AE35">
        <v>53.305120000000002</v>
      </c>
      <c r="AF35">
        <v>64.499200000000002</v>
      </c>
      <c r="AG35">
        <v>2.0251700000000001</v>
      </c>
      <c r="AH35">
        <v>2.4302000000000001</v>
      </c>
      <c r="AI35">
        <v>10.367369999999999</v>
      </c>
      <c r="AJ35" s="329">
        <v>599.34712999999999</v>
      </c>
      <c r="AL35">
        <v>0</v>
      </c>
      <c r="AQ35" t="s">
        <v>630</v>
      </c>
      <c r="AR35" t="s">
        <v>630</v>
      </c>
      <c r="AS35" t="s">
        <v>630</v>
      </c>
      <c r="AZ35">
        <v>0</v>
      </c>
      <c r="BA35" t="s">
        <v>2078</v>
      </c>
      <c r="BB35" t="s">
        <v>2079</v>
      </c>
      <c r="BC35" t="s">
        <v>2204</v>
      </c>
      <c r="BD35" t="s">
        <v>2205</v>
      </c>
      <c r="BE35" s="330">
        <v>43333.464849537035</v>
      </c>
      <c r="BH35">
        <f>VLOOKUP(B:B,výpočty!$Z$246:$Z$515,1,FALSE)</f>
        <v>244830</v>
      </c>
    </row>
    <row r="36" spans="1:60" x14ac:dyDescent="0.25">
      <c r="A36">
        <v>112002</v>
      </c>
      <c r="B36" t="s">
        <v>758</v>
      </c>
      <c r="C36" t="s">
        <v>759</v>
      </c>
      <c r="F36">
        <v>0</v>
      </c>
      <c r="G36">
        <v>222</v>
      </c>
      <c r="H36">
        <v>0</v>
      </c>
      <c r="I36">
        <v>0</v>
      </c>
      <c r="J36" t="s">
        <v>1727</v>
      </c>
      <c r="L36">
        <v>1</v>
      </c>
      <c r="M36">
        <v>1</v>
      </c>
      <c r="N36">
        <v>1</v>
      </c>
      <c r="O36">
        <v>0</v>
      </c>
      <c r="R36">
        <v>0</v>
      </c>
      <c r="U36">
        <v>1</v>
      </c>
      <c r="V36">
        <v>9.4E-2</v>
      </c>
      <c r="W36">
        <v>0</v>
      </c>
      <c r="X36">
        <v>5.8000000000000003E-2</v>
      </c>
      <c r="Y36">
        <v>0</v>
      </c>
      <c r="Z36" t="s">
        <v>630</v>
      </c>
      <c r="AA36">
        <v>400</v>
      </c>
      <c r="AB36">
        <v>400</v>
      </c>
      <c r="AC36">
        <v>1</v>
      </c>
      <c r="AD36">
        <v>0</v>
      </c>
      <c r="AE36">
        <v>20.308140000000002</v>
      </c>
      <c r="AF36">
        <v>24.572849999999999</v>
      </c>
      <c r="AG36">
        <v>0.77154999999999996</v>
      </c>
      <c r="AH36">
        <v>0.92586000000000002</v>
      </c>
      <c r="AI36">
        <v>3.9497499999999999</v>
      </c>
      <c r="AJ36">
        <v>228.33886000000001</v>
      </c>
      <c r="AL36">
        <v>0</v>
      </c>
      <c r="AQ36" t="s">
        <v>630</v>
      </c>
      <c r="AR36" t="s">
        <v>630</v>
      </c>
      <c r="AS36" t="s">
        <v>630</v>
      </c>
      <c r="AZ36">
        <v>0</v>
      </c>
      <c r="BA36" t="s">
        <v>761</v>
      </c>
      <c r="BB36" t="s">
        <v>1372</v>
      </c>
      <c r="BC36" t="s">
        <v>760</v>
      </c>
      <c r="BD36" t="s">
        <v>2055</v>
      </c>
      <c r="BE36" s="330">
        <v>43138.47042824074</v>
      </c>
      <c r="BH36" t="str">
        <f>VLOOKUP(B:B,výpočty!$Z$246:$Z$515,1,FALSE)</f>
        <v>R00049</v>
      </c>
    </row>
    <row r="37" spans="1:60" x14ac:dyDescent="0.25">
      <c r="A37">
        <v>112002</v>
      </c>
      <c r="B37" t="s">
        <v>522</v>
      </c>
      <c r="C37" t="s">
        <v>1136</v>
      </c>
      <c r="F37">
        <v>0</v>
      </c>
      <c r="G37">
        <v>222</v>
      </c>
      <c r="H37">
        <v>0</v>
      </c>
      <c r="I37">
        <v>0</v>
      </c>
      <c r="J37" t="s">
        <v>1727</v>
      </c>
      <c r="L37">
        <v>1</v>
      </c>
      <c r="M37">
        <v>1</v>
      </c>
      <c r="N37">
        <v>1</v>
      </c>
      <c r="O37">
        <v>0</v>
      </c>
      <c r="R37">
        <v>0</v>
      </c>
      <c r="U37">
        <v>1</v>
      </c>
      <c r="V37">
        <v>1.625</v>
      </c>
      <c r="W37">
        <v>0</v>
      </c>
      <c r="X37">
        <v>0.125</v>
      </c>
      <c r="Y37">
        <v>0</v>
      </c>
      <c r="Z37" t="s">
        <v>630</v>
      </c>
      <c r="AA37">
        <v>20</v>
      </c>
      <c r="AB37">
        <v>20</v>
      </c>
      <c r="AC37">
        <v>1</v>
      </c>
      <c r="AD37">
        <v>0</v>
      </c>
      <c r="AE37">
        <v>141.54115999999999</v>
      </c>
      <c r="AF37">
        <v>171.26480000000001</v>
      </c>
      <c r="AG37">
        <v>5.3774199999999999</v>
      </c>
      <c r="AH37">
        <v>6.4528999999999996</v>
      </c>
      <c r="AI37">
        <v>27.528469999999999</v>
      </c>
      <c r="AJ37" s="329">
        <v>1591.44757</v>
      </c>
      <c r="AL37">
        <v>0</v>
      </c>
      <c r="AQ37" t="s">
        <v>630</v>
      </c>
      <c r="AR37" t="s">
        <v>630</v>
      </c>
      <c r="AS37" t="s">
        <v>630</v>
      </c>
      <c r="AZ37">
        <v>0</v>
      </c>
      <c r="BA37" t="s">
        <v>1138</v>
      </c>
      <c r="BB37" t="s">
        <v>1501</v>
      </c>
      <c r="BC37" t="s">
        <v>1137</v>
      </c>
      <c r="BD37" t="s">
        <v>2055</v>
      </c>
      <c r="BE37" s="330">
        <v>43138.474456018521</v>
      </c>
      <c r="BH37" t="str">
        <f>VLOOKUP(B:B,výpočty!$Z$246:$Z$515,1,FALSE)</f>
        <v>R96085</v>
      </c>
    </row>
    <row r="38" spans="1:60" x14ac:dyDescent="0.25">
      <c r="A38">
        <v>112002</v>
      </c>
      <c r="B38" t="s">
        <v>515</v>
      </c>
      <c r="C38" t="s">
        <v>1139</v>
      </c>
      <c r="F38">
        <v>0</v>
      </c>
      <c r="G38">
        <v>222</v>
      </c>
      <c r="H38">
        <v>0</v>
      </c>
      <c r="I38">
        <v>0</v>
      </c>
      <c r="J38" t="s">
        <v>1727</v>
      </c>
      <c r="L38">
        <v>1</v>
      </c>
      <c r="M38">
        <v>1</v>
      </c>
      <c r="N38">
        <v>1</v>
      </c>
      <c r="O38">
        <v>0</v>
      </c>
      <c r="R38">
        <v>0</v>
      </c>
      <c r="U38">
        <v>1</v>
      </c>
      <c r="V38">
        <v>1.625</v>
      </c>
      <c r="W38">
        <v>0</v>
      </c>
      <c r="X38">
        <v>0.125</v>
      </c>
      <c r="Y38">
        <v>0</v>
      </c>
      <c r="Z38" t="s">
        <v>630</v>
      </c>
      <c r="AA38">
        <v>20</v>
      </c>
      <c r="AB38">
        <v>20</v>
      </c>
      <c r="AC38">
        <v>1</v>
      </c>
      <c r="AD38">
        <v>0</v>
      </c>
      <c r="AE38">
        <v>129.63122999999999</v>
      </c>
      <c r="AF38">
        <v>156.85379</v>
      </c>
      <c r="AG38">
        <v>4.9249400000000003</v>
      </c>
      <c r="AH38">
        <v>5.9099300000000001</v>
      </c>
      <c r="AI38">
        <v>24.73638</v>
      </c>
      <c r="AJ38" s="329">
        <v>1430.03504</v>
      </c>
      <c r="AL38">
        <v>0</v>
      </c>
      <c r="AQ38" t="s">
        <v>630</v>
      </c>
      <c r="AR38" t="s">
        <v>630</v>
      </c>
      <c r="AS38" t="s">
        <v>630</v>
      </c>
      <c r="AZ38">
        <v>0</v>
      </c>
      <c r="BA38" t="s">
        <v>1141</v>
      </c>
      <c r="BB38" t="s">
        <v>1502</v>
      </c>
      <c r="BC38" t="s">
        <v>1140</v>
      </c>
      <c r="BD38" t="s">
        <v>2055</v>
      </c>
      <c r="BE38" s="330">
        <v>43138.474444444444</v>
      </c>
      <c r="BH38" t="str">
        <f>VLOOKUP(B:B,výpočty!$Z$246:$Z$515,1,FALSE)</f>
        <v>R96086</v>
      </c>
    </row>
    <row r="39" spans="1:60" x14ac:dyDescent="0.25">
      <c r="A39">
        <v>112002</v>
      </c>
      <c r="B39" t="s">
        <v>514</v>
      </c>
      <c r="C39" t="s">
        <v>1119</v>
      </c>
      <c r="F39">
        <v>0</v>
      </c>
      <c r="G39">
        <v>222</v>
      </c>
      <c r="H39">
        <v>0</v>
      </c>
      <c r="I39">
        <v>0</v>
      </c>
      <c r="J39" t="s">
        <v>1727</v>
      </c>
      <c r="L39">
        <v>1</v>
      </c>
      <c r="M39">
        <v>1</v>
      </c>
      <c r="N39">
        <v>1</v>
      </c>
      <c r="O39">
        <v>0</v>
      </c>
      <c r="R39">
        <v>0</v>
      </c>
      <c r="U39">
        <v>1</v>
      </c>
      <c r="V39">
        <v>1.625</v>
      </c>
      <c r="W39">
        <v>0</v>
      </c>
      <c r="X39">
        <v>0.14099999999999999</v>
      </c>
      <c r="Y39">
        <v>0</v>
      </c>
      <c r="Z39" t="s">
        <v>630</v>
      </c>
      <c r="AA39">
        <v>20</v>
      </c>
      <c r="AB39">
        <v>20</v>
      </c>
      <c r="AC39">
        <v>1</v>
      </c>
      <c r="AD39">
        <v>0</v>
      </c>
      <c r="AE39">
        <v>159.72128000000001</v>
      </c>
      <c r="AF39">
        <v>193.26275000000001</v>
      </c>
      <c r="AG39">
        <v>6.0681099999999999</v>
      </c>
      <c r="AH39">
        <v>7.2817299999999996</v>
      </c>
      <c r="AI39">
        <v>31.064330000000002</v>
      </c>
      <c r="AJ39" s="329">
        <v>1795.8595</v>
      </c>
      <c r="AL39">
        <v>0</v>
      </c>
      <c r="AQ39" t="s">
        <v>630</v>
      </c>
      <c r="AR39" t="s">
        <v>630</v>
      </c>
      <c r="AS39" t="s">
        <v>630</v>
      </c>
      <c r="AZ39">
        <v>0</v>
      </c>
      <c r="BA39" t="s">
        <v>1121</v>
      </c>
      <c r="BB39" t="s">
        <v>1494</v>
      </c>
      <c r="BC39" t="s">
        <v>1120</v>
      </c>
      <c r="BD39" t="s">
        <v>2055</v>
      </c>
      <c r="BE39" s="330">
        <v>43138.470370370371</v>
      </c>
      <c r="BH39" t="str">
        <f>VLOOKUP(B:B,výpočty!$Z$246:$Z$515,1,FALSE)</f>
        <v>R96076</v>
      </c>
    </row>
    <row r="40" spans="1:60" x14ac:dyDescent="0.25">
      <c r="A40">
        <v>112002</v>
      </c>
      <c r="B40" t="s">
        <v>512</v>
      </c>
      <c r="C40" t="s">
        <v>1122</v>
      </c>
      <c r="F40">
        <v>0</v>
      </c>
      <c r="G40">
        <v>222</v>
      </c>
      <c r="H40">
        <v>0</v>
      </c>
      <c r="I40">
        <v>0</v>
      </c>
      <c r="J40" t="s">
        <v>1727</v>
      </c>
      <c r="L40">
        <v>1</v>
      </c>
      <c r="M40">
        <v>1</v>
      </c>
      <c r="N40">
        <v>1</v>
      </c>
      <c r="O40">
        <v>0</v>
      </c>
      <c r="R40">
        <v>0</v>
      </c>
      <c r="U40">
        <v>1</v>
      </c>
      <c r="V40">
        <v>1.625</v>
      </c>
      <c r="W40">
        <v>0</v>
      </c>
      <c r="X40">
        <v>0.14099999999999999</v>
      </c>
      <c r="Y40">
        <v>0</v>
      </c>
      <c r="Z40" t="s">
        <v>630</v>
      </c>
      <c r="AA40">
        <v>20</v>
      </c>
      <c r="AB40">
        <v>20</v>
      </c>
      <c r="AC40">
        <v>1</v>
      </c>
      <c r="AD40">
        <v>0</v>
      </c>
      <c r="AE40">
        <v>146.28341</v>
      </c>
      <c r="AF40">
        <v>177.00292999999999</v>
      </c>
      <c r="AG40">
        <v>5.5575799999999997</v>
      </c>
      <c r="AH40">
        <v>6.6691000000000003</v>
      </c>
      <c r="AI40">
        <v>27.913969999999999</v>
      </c>
      <c r="AJ40" s="329">
        <v>1613.73459</v>
      </c>
      <c r="AL40">
        <v>0</v>
      </c>
      <c r="AQ40" t="s">
        <v>630</v>
      </c>
      <c r="AR40" t="s">
        <v>630</v>
      </c>
      <c r="AS40" t="s">
        <v>630</v>
      </c>
      <c r="AZ40">
        <v>0</v>
      </c>
      <c r="BA40" t="s">
        <v>1124</v>
      </c>
      <c r="BB40" t="s">
        <v>1495</v>
      </c>
      <c r="BC40" t="s">
        <v>1123</v>
      </c>
      <c r="BD40" t="s">
        <v>2055</v>
      </c>
      <c r="BE40" s="330">
        <v>43138.469259259262</v>
      </c>
      <c r="BH40" t="str">
        <f>VLOOKUP(B:B,výpočty!$Z$246:$Z$515,1,FALSE)</f>
        <v>R96077</v>
      </c>
    </row>
    <row r="41" spans="1:60" x14ac:dyDescent="0.25">
      <c r="A41">
        <v>112002</v>
      </c>
      <c r="B41" t="s">
        <v>497</v>
      </c>
      <c r="C41" t="s">
        <v>1077</v>
      </c>
      <c r="F41">
        <v>0</v>
      </c>
      <c r="G41">
        <v>222</v>
      </c>
      <c r="H41">
        <v>0</v>
      </c>
      <c r="I41">
        <v>0</v>
      </c>
      <c r="J41" t="s">
        <v>1727</v>
      </c>
      <c r="L41">
        <v>1</v>
      </c>
      <c r="M41">
        <v>1</v>
      </c>
      <c r="N41">
        <v>1</v>
      </c>
      <c r="O41">
        <v>0</v>
      </c>
      <c r="R41">
        <v>0</v>
      </c>
      <c r="U41">
        <v>1</v>
      </c>
      <c r="V41">
        <v>1.625</v>
      </c>
      <c r="W41">
        <v>0</v>
      </c>
      <c r="X41">
        <v>9.2999999999999999E-2</v>
      </c>
      <c r="Y41">
        <v>0</v>
      </c>
      <c r="Z41" t="s">
        <v>630</v>
      </c>
      <c r="AA41">
        <v>20</v>
      </c>
      <c r="AB41">
        <v>20</v>
      </c>
      <c r="AC41">
        <v>1</v>
      </c>
      <c r="AD41">
        <v>0</v>
      </c>
      <c r="AE41">
        <v>238.72563</v>
      </c>
      <c r="AF41">
        <v>288.85800999999998</v>
      </c>
      <c r="AG41">
        <v>9.0696499999999993</v>
      </c>
      <c r="AH41">
        <v>10.88358</v>
      </c>
      <c r="AI41">
        <v>46.429940000000002</v>
      </c>
      <c r="AJ41" s="329">
        <v>2684.1614300000001</v>
      </c>
      <c r="AL41">
        <v>0</v>
      </c>
      <c r="AQ41" t="s">
        <v>630</v>
      </c>
      <c r="AR41" t="s">
        <v>630</v>
      </c>
      <c r="AS41" t="s">
        <v>630</v>
      </c>
      <c r="AZ41">
        <v>0</v>
      </c>
      <c r="BA41" t="s">
        <v>1756</v>
      </c>
      <c r="BB41" t="s">
        <v>1476</v>
      </c>
      <c r="BC41" t="s">
        <v>1078</v>
      </c>
      <c r="BD41" t="s">
        <v>2055</v>
      </c>
      <c r="BE41" s="330">
        <v>43138.471435185187</v>
      </c>
      <c r="BH41" t="str">
        <f>VLOOKUP(B:B,výpočty!$Z$246:$Z$515,1,FALSE)</f>
        <v>R95837</v>
      </c>
    </row>
    <row r="42" spans="1:60" x14ac:dyDescent="0.25">
      <c r="A42">
        <v>112002</v>
      </c>
      <c r="B42" t="s">
        <v>496</v>
      </c>
      <c r="C42" t="s">
        <v>1079</v>
      </c>
      <c r="F42">
        <v>0</v>
      </c>
      <c r="G42">
        <v>222</v>
      </c>
      <c r="H42">
        <v>0</v>
      </c>
      <c r="I42">
        <v>0</v>
      </c>
      <c r="J42" t="s">
        <v>1727</v>
      </c>
      <c r="L42">
        <v>1</v>
      </c>
      <c r="M42">
        <v>1</v>
      </c>
      <c r="N42">
        <v>1</v>
      </c>
      <c r="O42">
        <v>0</v>
      </c>
      <c r="R42">
        <v>0</v>
      </c>
      <c r="U42">
        <v>1</v>
      </c>
      <c r="V42">
        <v>1.625</v>
      </c>
      <c r="W42">
        <v>0</v>
      </c>
      <c r="X42">
        <v>9.2999999999999999E-2</v>
      </c>
      <c r="Y42">
        <v>0</v>
      </c>
      <c r="Z42" t="s">
        <v>630</v>
      </c>
      <c r="AA42">
        <v>20</v>
      </c>
      <c r="AB42">
        <v>20</v>
      </c>
      <c r="AC42">
        <v>1</v>
      </c>
      <c r="AD42">
        <v>0</v>
      </c>
      <c r="AE42">
        <v>218.64671999999999</v>
      </c>
      <c r="AF42">
        <v>264.56252999999998</v>
      </c>
      <c r="AG42">
        <v>8.3068200000000001</v>
      </c>
      <c r="AH42">
        <v>9.9681800000000003</v>
      </c>
      <c r="AI42">
        <v>41.722430000000003</v>
      </c>
      <c r="AJ42" s="329">
        <v>2412.0149799999999</v>
      </c>
      <c r="AL42">
        <v>0</v>
      </c>
      <c r="AQ42" t="s">
        <v>630</v>
      </c>
      <c r="AR42" t="s">
        <v>630</v>
      </c>
      <c r="AS42" t="s">
        <v>630</v>
      </c>
      <c r="AZ42">
        <v>0</v>
      </c>
      <c r="BA42" t="s">
        <v>1080</v>
      </c>
      <c r="BB42" t="s">
        <v>1477</v>
      </c>
      <c r="BC42" t="s">
        <v>1079</v>
      </c>
      <c r="BD42" t="s">
        <v>2055</v>
      </c>
      <c r="BE42" s="330">
        <v>43138.47142361111</v>
      </c>
      <c r="BH42" t="str">
        <f>VLOOKUP(B:B,výpočty!$Z$246:$Z$515,1,FALSE)</f>
        <v>R95838</v>
      </c>
    </row>
    <row r="43" spans="1:60" x14ac:dyDescent="0.25">
      <c r="A43">
        <v>112002</v>
      </c>
      <c r="B43">
        <v>202652</v>
      </c>
      <c r="C43" t="s">
        <v>2070</v>
      </c>
      <c r="F43">
        <v>0</v>
      </c>
      <c r="G43">
        <v>222</v>
      </c>
      <c r="H43">
        <v>0</v>
      </c>
      <c r="I43">
        <v>0</v>
      </c>
      <c r="J43" t="s">
        <v>1727</v>
      </c>
      <c r="L43">
        <v>1</v>
      </c>
      <c r="M43">
        <v>1</v>
      </c>
      <c r="N43">
        <v>1</v>
      </c>
      <c r="O43">
        <v>0</v>
      </c>
      <c r="R43">
        <v>0</v>
      </c>
      <c r="U43">
        <v>1</v>
      </c>
      <c r="V43">
        <v>1.3</v>
      </c>
      <c r="W43">
        <v>0</v>
      </c>
      <c r="X43">
        <v>0.55000000000000004</v>
      </c>
      <c r="Y43">
        <v>0</v>
      </c>
      <c r="Z43" t="s">
        <v>630</v>
      </c>
      <c r="AA43">
        <v>20</v>
      </c>
      <c r="AB43">
        <v>0.1</v>
      </c>
      <c r="AC43">
        <v>1</v>
      </c>
      <c r="AD43">
        <v>0</v>
      </c>
      <c r="AE43">
        <v>163.69667000000001</v>
      </c>
      <c r="AF43">
        <v>198.07297</v>
      </c>
      <c r="AG43">
        <v>6.21915</v>
      </c>
      <c r="AH43">
        <v>7.4629799999999999</v>
      </c>
      <c r="AI43">
        <v>31.837499999999999</v>
      </c>
      <c r="AJ43" s="329">
        <v>1840.55773</v>
      </c>
      <c r="AK43" t="s">
        <v>2066</v>
      </c>
      <c r="AL43">
        <v>0</v>
      </c>
      <c r="AQ43" t="s">
        <v>630</v>
      </c>
      <c r="AR43" t="s">
        <v>630</v>
      </c>
      <c r="AS43" t="s">
        <v>630</v>
      </c>
      <c r="AZ43">
        <v>0</v>
      </c>
      <c r="BA43" t="s">
        <v>2071</v>
      </c>
      <c r="BB43" t="s">
        <v>2072</v>
      </c>
      <c r="BC43" t="s">
        <v>2073</v>
      </c>
      <c r="BD43" t="s">
        <v>2055</v>
      </c>
      <c r="BE43" s="330">
        <v>43138.556168981479</v>
      </c>
      <c r="BH43">
        <f>VLOOKUP(B:B,výpočty!$Z$246:$Z$515,1,FALSE)</f>
        <v>202652</v>
      </c>
    </row>
    <row r="44" spans="1:60" x14ac:dyDescent="0.25">
      <c r="A44">
        <v>112002</v>
      </c>
      <c r="B44" t="s">
        <v>762</v>
      </c>
      <c r="C44" t="s">
        <v>763</v>
      </c>
      <c r="F44">
        <v>0</v>
      </c>
      <c r="G44">
        <v>222</v>
      </c>
      <c r="H44">
        <v>0</v>
      </c>
      <c r="I44">
        <v>0</v>
      </c>
      <c r="J44" t="s">
        <v>657</v>
      </c>
      <c r="L44">
        <v>1</v>
      </c>
      <c r="M44">
        <v>1</v>
      </c>
      <c r="N44">
        <v>1</v>
      </c>
      <c r="O44">
        <v>0</v>
      </c>
      <c r="R44">
        <v>0</v>
      </c>
      <c r="U44">
        <v>1</v>
      </c>
      <c r="V44">
        <v>0.219</v>
      </c>
      <c r="W44">
        <v>0</v>
      </c>
      <c r="X44">
        <v>0.09</v>
      </c>
      <c r="Y44">
        <v>0</v>
      </c>
      <c r="Z44" t="s">
        <v>630</v>
      </c>
      <c r="AA44">
        <v>20</v>
      </c>
      <c r="AB44">
        <v>20</v>
      </c>
      <c r="AC44">
        <v>1</v>
      </c>
      <c r="AD44">
        <v>0</v>
      </c>
      <c r="AE44">
        <v>27.746449999999999</v>
      </c>
      <c r="AF44">
        <v>33.5732</v>
      </c>
      <c r="AG44">
        <v>1.05413</v>
      </c>
      <c r="AH44">
        <v>1.2649600000000001</v>
      </c>
      <c r="AI44">
        <v>5.2946299999999997</v>
      </c>
      <c r="AJ44">
        <v>306.08726999999999</v>
      </c>
      <c r="AL44">
        <v>0</v>
      </c>
      <c r="AQ44" t="s">
        <v>630</v>
      </c>
      <c r="AR44" t="s">
        <v>630</v>
      </c>
      <c r="AS44" t="s">
        <v>630</v>
      </c>
      <c r="AZ44">
        <v>0</v>
      </c>
      <c r="BA44" t="s">
        <v>765</v>
      </c>
      <c r="BB44" t="s">
        <v>1373</v>
      </c>
      <c r="BC44" t="s">
        <v>764</v>
      </c>
      <c r="BD44" t="s">
        <v>2055</v>
      </c>
      <c r="BE44" s="330">
        <v>43138.474490740744</v>
      </c>
      <c r="BH44" t="str">
        <f>VLOOKUP(B:B,výpočty!$Z$246:$Z$515,1,FALSE)</f>
        <v>R00050</v>
      </c>
    </row>
    <row r="45" spans="1:60" x14ac:dyDescent="0.25">
      <c r="A45">
        <v>112002</v>
      </c>
      <c r="B45" t="s">
        <v>605</v>
      </c>
      <c r="C45" t="s">
        <v>1088</v>
      </c>
      <c r="F45">
        <v>0</v>
      </c>
      <c r="G45">
        <v>222</v>
      </c>
      <c r="H45">
        <v>0</v>
      </c>
      <c r="I45">
        <v>0</v>
      </c>
      <c r="J45" t="s">
        <v>723</v>
      </c>
      <c r="L45">
        <v>1</v>
      </c>
      <c r="M45">
        <v>1</v>
      </c>
      <c r="N45">
        <v>1</v>
      </c>
      <c r="O45">
        <v>0</v>
      </c>
      <c r="R45">
        <v>0</v>
      </c>
      <c r="U45">
        <v>1</v>
      </c>
      <c r="V45">
        <v>0.42</v>
      </c>
      <c r="W45">
        <v>0</v>
      </c>
      <c r="X45">
        <v>3.1E-2</v>
      </c>
      <c r="Y45">
        <v>0</v>
      </c>
      <c r="Z45" t="s">
        <v>630</v>
      </c>
      <c r="AA45" s="331">
        <v>10</v>
      </c>
      <c r="AB45" s="329">
        <v>10</v>
      </c>
      <c r="AC45">
        <v>1</v>
      </c>
      <c r="AD45">
        <v>0</v>
      </c>
      <c r="AE45">
        <v>99.939300000000003</v>
      </c>
      <c r="AF45">
        <v>120.92655000000001</v>
      </c>
      <c r="AG45">
        <v>3.7968899999999999</v>
      </c>
      <c r="AH45">
        <v>4.5562699999999996</v>
      </c>
      <c r="AI45">
        <v>19.437290000000001</v>
      </c>
      <c r="AJ45" s="329">
        <v>1123.6883600000001</v>
      </c>
      <c r="AL45">
        <v>0</v>
      </c>
      <c r="AN45" t="s">
        <v>2054</v>
      </c>
      <c r="AQ45" t="s">
        <v>630</v>
      </c>
      <c r="AR45" t="s">
        <v>630</v>
      </c>
      <c r="AS45" t="s">
        <v>630</v>
      </c>
      <c r="AZ45">
        <v>0</v>
      </c>
      <c r="BA45" t="s">
        <v>1090</v>
      </c>
      <c r="BB45" t="s">
        <v>1762</v>
      </c>
      <c r="BC45" t="s">
        <v>1089</v>
      </c>
      <c r="BD45" t="s">
        <v>2055</v>
      </c>
      <c r="BE45" s="330">
        <v>43138.469155092593</v>
      </c>
      <c r="BH45" t="str">
        <f>VLOOKUP(B:B,výpočty!$Z$246:$Z$515,1,FALSE)</f>
        <v>R95845</v>
      </c>
    </row>
    <row r="46" spans="1:60" x14ac:dyDescent="0.25">
      <c r="A46">
        <v>112002</v>
      </c>
      <c r="B46" t="s">
        <v>602</v>
      </c>
      <c r="C46" t="s">
        <v>1091</v>
      </c>
      <c r="F46">
        <v>0</v>
      </c>
      <c r="G46">
        <v>222</v>
      </c>
      <c r="H46">
        <v>0</v>
      </c>
      <c r="I46">
        <v>0</v>
      </c>
      <c r="J46" t="s">
        <v>723</v>
      </c>
      <c r="L46">
        <v>1</v>
      </c>
      <c r="M46">
        <v>1</v>
      </c>
      <c r="N46">
        <v>1</v>
      </c>
      <c r="O46">
        <v>0</v>
      </c>
      <c r="R46">
        <v>0</v>
      </c>
      <c r="U46">
        <v>1</v>
      </c>
      <c r="V46">
        <v>0.42</v>
      </c>
      <c r="W46">
        <v>0</v>
      </c>
      <c r="X46">
        <v>3.1E-2</v>
      </c>
      <c r="Y46">
        <v>0</v>
      </c>
      <c r="Z46" t="s">
        <v>630</v>
      </c>
      <c r="AA46">
        <v>10</v>
      </c>
      <c r="AB46">
        <v>10</v>
      </c>
      <c r="AC46">
        <v>1</v>
      </c>
      <c r="AD46">
        <v>0</v>
      </c>
      <c r="AE46">
        <v>96.095550000000003</v>
      </c>
      <c r="AF46" s="329">
        <v>116.27562</v>
      </c>
      <c r="AG46">
        <v>3.6508500000000002</v>
      </c>
      <c r="AH46">
        <v>4.3810200000000004</v>
      </c>
      <c r="AI46">
        <v>18.337039999999998</v>
      </c>
      <c r="AJ46" s="329">
        <v>1060.08232</v>
      </c>
      <c r="AL46">
        <v>0</v>
      </c>
      <c r="AN46" t="s">
        <v>2054</v>
      </c>
      <c r="AQ46" t="s">
        <v>630</v>
      </c>
      <c r="AR46" t="s">
        <v>630</v>
      </c>
      <c r="AS46" t="s">
        <v>630</v>
      </c>
      <c r="AZ46">
        <v>0</v>
      </c>
      <c r="BA46" t="s">
        <v>1093</v>
      </c>
      <c r="BB46" t="s">
        <v>1761</v>
      </c>
      <c r="BC46" t="s">
        <v>1092</v>
      </c>
      <c r="BD46" t="s">
        <v>2055</v>
      </c>
      <c r="BE46" s="330">
        <v>43138.478356481479</v>
      </c>
      <c r="BH46" t="str">
        <f>VLOOKUP(B:B,výpočty!$Z$246:$Z$515,1,FALSE)</f>
        <v>R95846</v>
      </c>
    </row>
    <row r="47" spans="1:60" x14ac:dyDescent="0.25">
      <c r="A47">
        <v>112002</v>
      </c>
      <c r="B47">
        <v>202651</v>
      </c>
      <c r="C47" t="s">
        <v>2065</v>
      </c>
      <c r="F47">
        <v>0</v>
      </c>
      <c r="G47">
        <v>222</v>
      </c>
      <c r="H47">
        <v>0</v>
      </c>
      <c r="I47">
        <v>0</v>
      </c>
      <c r="J47" t="s">
        <v>1727</v>
      </c>
      <c r="L47">
        <v>1</v>
      </c>
      <c r="M47">
        <v>1</v>
      </c>
      <c r="N47">
        <v>1</v>
      </c>
      <c r="O47">
        <v>0</v>
      </c>
      <c r="R47">
        <v>0</v>
      </c>
      <c r="U47">
        <v>1</v>
      </c>
      <c r="V47">
        <v>1.3</v>
      </c>
      <c r="W47">
        <v>0</v>
      </c>
      <c r="X47">
        <v>0.55000000000000004</v>
      </c>
      <c r="Y47">
        <v>0</v>
      </c>
      <c r="Z47" t="s">
        <v>630</v>
      </c>
      <c r="AA47">
        <v>20</v>
      </c>
      <c r="AB47">
        <v>0.1</v>
      </c>
      <c r="AC47">
        <v>1</v>
      </c>
      <c r="AD47">
        <v>0</v>
      </c>
      <c r="AE47">
        <v>238.29184000000001</v>
      </c>
      <c r="AF47">
        <v>288.33312999999998</v>
      </c>
      <c r="AG47">
        <v>9.0531600000000001</v>
      </c>
      <c r="AH47">
        <v>10.86379</v>
      </c>
      <c r="AI47">
        <v>45.4711</v>
      </c>
      <c r="AJ47" s="329">
        <v>2628.7294999999999</v>
      </c>
      <c r="AK47" t="s">
        <v>2066</v>
      </c>
      <c r="AL47">
        <v>0</v>
      </c>
      <c r="AQ47" t="s">
        <v>630</v>
      </c>
      <c r="AR47" t="s">
        <v>630</v>
      </c>
      <c r="AS47" t="s">
        <v>630</v>
      </c>
      <c r="AZ47">
        <v>0</v>
      </c>
      <c r="BA47" t="s">
        <v>2067</v>
      </c>
      <c r="BB47" t="s">
        <v>2068</v>
      </c>
      <c r="BC47" t="s">
        <v>2065</v>
      </c>
      <c r="BD47" t="s">
        <v>2055</v>
      </c>
      <c r="BE47" s="330">
        <v>43138.564837962964</v>
      </c>
      <c r="BH47">
        <f>VLOOKUP(B:B,výpočty!$Z$246:$Z$515,1,FALSE)</f>
        <v>202651</v>
      </c>
    </row>
    <row r="48" spans="1:60" x14ac:dyDescent="0.25">
      <c r="A48">
        <v>112002</v>
      </c>
      <c r="B48" t="s">
        <v>461</v>
      </c>
      <c r="C48" t="s">
        <v>1173</v>
      </c>
      <c r="F48">
        <v>0</v>
      </c>
      <c r="G48">
        <v>222</v>
      </c>
      <c r="H48">
        <v>0</v>
      </c>
      <c r="I48">
        <v>0</v>
      </c>
      <c r="J48" t="s">
        <v>1727</v>
      </c>
      <c r="L48">
        <v>1</v>
      </c>
      <c r="M48">
        <v>1</v>
      </c>
      <c r="N48">
        <v>1</v>
      </c>
      <c r="O48">
        <v>0</v>
      </c>
      <c r="R48">
        <v>0</v>
      </c>
      <c r="U48">
        <v>1</v>
      </c>
      <c r="V48">
        <v>1.625</v>
      </c>
      <c r="W48">
        <v>0</v>
      </c>
      <c r="X48">
        <v>0.65600000000000003</v>
      </c>
      <c r="Y48">
        <v>0</v>
      </c>
      <c r="Z48" t="s">
        <v>630</v>
      </c>
      <c r="AA48">
        <v>20</v>
      </c>
      <c r="AB48">
        <v>20</v>
      </c>
      <c r="AC48">
        <v>1</v>
      </c>
      <c r="AD48">
        <v>0</v>
      </c>
      <c r="AE48">
        <v>544.52994999999999</v>
      </c>
      <c r="AF48">
        <v>658.88124000000005</v>
      </c>
      <c r="AG48">
        <v>20.687750000000001</v>
      </c>
      <c r="AH48">
        <v>24.825299999999999</v>
      </c>
      <c r="AI48">
        <v>105.90609000000001</v>
      </c>
      <c r="AJ48" s="329">
        <v>6122.53604</v>
      </c>
      <c r="AL48">
        <v>0</v>
      </c>
      <c r="AQ48" t="s">
        <v>630</v>
      </c>
      <c r="AR48" t="s">
        <v>630</v>
      </c>
      <c r="AS48" t="s">
        <v>630</v>
      </c>
      <c r="AZ48">
        <v>0</v>
      </c>
      <c r="BA48" t="s">
        <v>1174</v>
      </c>
      <c r="BB48" t="s">
        <v>1516</v>
      </c>
      <c r="BC48" t="s">
        <v>1173</v>
      </c>
      <c r="BD48" t="s">
        <v>2055</v>
      </c>
      <c r="BE48" s="330">
        <v>43138.478449074071</v>
      </c>
      <c r="BH48" t="str">
        <f>VLOOKUP(B:B,výpočty!$Z$246:$Z$515,1,FALSE)</f>
        <v>R97028</v>
      </c>
    </row>
    <row r="49" spans="1:60" x14ac:dyDescent="0.25">
      <c r="A49">
        <v>112002</v>
      </c>
      <c r="B49">
        <v>178140</v>
      </c>
      <c r="C49" t="s">
        <v>2059</v>
      </c>
      <c r="F49">
        <v>0</v>
      </c>
      <c r="G49">
        <v>222</v>
      </c>
      <c r="H49">
        <v>0</v>
      </c>
      <c r="I49">
        <v>0</v>
      </c>
      <c r="J49" t="s">
        <v>1727</v>
      </c>
      <c r="L49">
        <v>1</v>
      </c>
      <c r="M49">
        <v>1</v>
      </c>
      <c r="N49">
        <v>1</v>
      </c>
      <c r="O49">
        <v>0</v>
      </c>
      <c r="R49">
        <v>0</v>
      </c>
      <c r="U49">
        <v>1</v>
      </c>
      <c r="V49">
        <v>1.625</v>
      </c>
      <c r="W49">
        <v>0</v>
      </c>
      <c r="X49">
        <v>0.65600000000000003</v>
      </c>
      <c r="Y49">
        <v>0</v>
      </c>
      <c r="Z49" t="s">
        <v>630</v>
      </c>
      <c r="AA49">
        <v>20</v>
      </c>
      <c r="AB49">
        <v>0.1</v>
      </c>
      <c r="AC49">
        <v>1</v>
      </c>
      <c r="AD49">
        <v>0</v>
      </c>
      <c r="AE49">
        <v>713.92930000000001</v>
      </c>
      <c r="AF49">
        <v>863.85445000000004</v>
      </c>
      <c r="AG49">
        <v>27.123550000000002</v>
      </c>
      <c r="AH49">
        <v>32.548259999999999</v>
      </c>
      <c r="AI49">
        <v>138.85269</v>
      </c>
      <c r="AJ49" s="329">
        <v>8027.2127300000002</v>
      </c>
      <c r="AL49">
        <v>0</v>
      </c>
      <c r="AQ49" t="s">
        <v>630</v>
      </c>
      <c r="AR49" t="s">
        <v>630</v>
      </c>
      <c r="AS49" t="s">
        <v>630</v>
      </c>
      <c r="AZ49">
        <v>0</v>
      </c>
      <c r="BA49" t="s">
        <v>2060</v>
      </c>
      <c r="BB49" t="s">
        <v>2061</v>
      </c>
      <c r="BC49" t="s">
        <v>2059</v>
      </c>
      <c r="BD49" t="s">
        <v>2055</v>
      </c>
      <c r="BE49" s="330">
        <v>43138.5315625</v>
      </c>
      <c r="BH49">
        <f>VLOOKUP(B:B,výpočty!$Z$246:$Z$515,1,FALSE)</f>
        <v>178140</v>
      </c>
    </row>
    <row r="50" spans="1:60" x14ac:dyDescent="0.25">
      <c r="A50">
        <v>112002</v>
      </c>
      <c r="B50" t="s">
        <v>452</v>
      </c>
      <c r="C50" t="s">
        <v>787</v>
      </c>
      <c r="F50">
        <v>0</v>
      </c>
      <c r="G50">
        <v>222</v>
      </c>
      <c r="H50">
        <v>0</v>
      </c>
      <c r="I50">
        <v>0</v>
      </c>
      <c r="J50" t="s">
        <v>657</v>
      </c>
      <c r="L50">
        <v>1</v>
      </c>
      <c r="M50">
        <v>1</v>
      </c>
      <c r="N50">
        <v>1</v>
      </c>
      <c r="O50">
        <v>0</v>
      </c>
      <c r="R50">
        <v>0</v>
      </c>
      <c r="U50">
        <v>1</v>
      </c>
      <c r="V50">
        <v>0.437</v>
      </c>
      <c r="W50">
        <v>0</v>
      </c>
      <c r="X50">
        <v>0.105</v>
      </c>
      <c r="Y50">
        <v>0</v>
      </c>
      <c r="Z50" t="s">
        <v>630</v>
      </c>
      <c r="AA50">
        <v>10</v>
      </c>
      <c r="AB50">
        <v>10</v>
      </c>
      <c r="AC50">
        <v>1</v>
      </c>
      <c r="AD50">
        <v>0</v>
      </c>
      <c r="AE50">
        <v>22.23997</v>
      </c>
      <c r="AF50">
        <v>26.910360000000001</v>
      </c>
      <c r="AG50">
        <v>0.84494999999999998</v>
      </c>
      <c r="AH50">
        <v>1.0139400000000001</v>
      </c>
      <c r="AI50">
        <v>4.2438700000000003</v>
      </c>
      <c r="AJ50">
        <v>245.34159</v>
      </c>
      <c r="AL50">
        <v>0</v>
      </c>
      <c r="AQ50" t="s">
        <v>630</v>
      </c>
      <c r="AR50" t="s">
        <v>630</v>
      </c>
      <c r="AS50" t="s">
        <v>630</v>
      </c>
      <c r="AZ50">
        <v>0</v>
      </c>
      <c r="BA50" t="s">
        <v>789</v>
      </c>
      <c r="BB50" t="s">
        <v>1378</v>
      </c>
      <c r="BC50" t="s">
        <v>788</v>
      </c>
      <c r="BD50" t="s">
        <v>2055</v>
      </c>
      <c r="BE50" s="330">
        <v>43138.474421296298</v>
      </c>
      <c r="BH50" t="str">
        <f>VLOOKUP(B:B,výpočty!$Z$246:$Z$515,1,FALSE)</f>
        <v>R00059</v>
      </c>
    </row>
    <row r="51" spans="1:60" x14ac:dyDescent="0.25">
      <c r="A51">
        <v>112002</v>
      </c>
      <c r="B51" t="s">
        <v>446</v>
      </c>
      <c r="C51" t="s">
        <v>1175</v>
      </c>
      <c r="F51">
        <v>0</v>
      </c>
      <c r="G51">
        <v>222</v>
      </c>
      <c r="H51">
        <v>0</v>
      </c>
      <c r="I51">
        <v>0</v>
      </c>
      <c r="J51" t="s">
        <v>657</v>
      </c>
      <c r="L51">
        <v>1</v>
      </c>
      <c r="M51">
        <v>1</v>
      </c>
      <c r="N51">
        <v>1</v>
      </c>
      <c r="O51">
        <v>0</v>
      </c>
      <c r="R51">
        <v>0</v>
      </c>
      <c r="U51">
        <v>1</v>
      </c>
      <c r="V51">
        <v>0.219</v>
      </c>
      <c r="W51">
        <v>0</v>
      </c>
      <c r="X51">
        <v>3.0000000000000001E-3</v>
      </c>
      <c r="Y51">
        <v>0</v>
      </c>
      <c r="Z51" t="s">
        <v>630</v>
      </c>
      <c r="AA51">
        <v>20</v>
      </c>
      <c r="AB51">
        <v>1</v>
      </c>
      <c r="AC51">
        <v>1</v>
      </c>
      <c r="AD51">
        <v>0</v>
      </c>
      <c r="AE51">
        <v>23.644649999999999</v>
      </c>
      <c r="AF51">
        <v>28.610029999999998</v>
      </c>
      <c r="AG51">
        <v>0.89829999999999999</v>
      </c>
      <c r="AH51">
        <v>1.07796</v>
      </c>
      <c r="AI51">
        <v>4.5986599999999997</v>
      </c>
      <c r="AJ51" s="329">
        <v>265.85345999999998</v>
      </c>
      <c r="AL51">
        <v>0</v>
      </c>
      <c r="AQ51" t="s">
        <v>630</v>
      </c>
      <c r="AR51" t="s">
        <v>630</v>
      </c>
      <c r="AS51" t="s">
        <v>630</v>
      </c>
      <c r="AZ51">
        <v>0</v>
      </c>
      <c r="BA51" t="s">
        <v>1177</v>
      </c>
      <c r="BB51" t="s">
        <v>1517</v>
      </c>
      <c r="BC51" t="s">
        <v>1176</v>
      </c>
      <c r="BD51" t="s">
        <v>2055</v>
      </c>
      <c r="BE51" s="330">
        <v>43138.478449074071</v>
      </c>
      <c r="BH51" t="str">
        <f>VLOOKUP(B:B,výpočty!$Z$246:$Z$515,1,FALSE)</f>
        <v>R97029</v>
      </c>
    </row>
    <row r="52" spans="1:60" x14ac:dyDescent="0.25">
      <c r="A52">
        <v>112002</v>
      </c>
      <c r="B52" t="s">
        <v>737</v>
      </c>
      <c r="C52" t="s">
        <v>738</v>
      </c>
      <c r="F52">
        <v>0</v>
      </c>
      <c r="G52">
        <v>222</v>
      </c>
      <c r="H52">
        <v>0</v>
      </c>
      <c r="I52">
        <v>0</v>
      </c>
      <c r="J52" t="s">
        <v>657</v>
      </c>
      <c r="L52">
        <v>1</v>
      </c>
      <c r="M52">
        <v>1</v>
      </c>
      <c r="N52">
        <v>1</v>
      </c>
      <c r="O52">
        <v>0</v>
      </c>
      <c r="R52">
        <v>0</v>
      </c>
      <c r="U52">
        <v>1</v>
      </c>
      <c r="V52">
        <v>0.219</v>
      </c>
      <c r="W52">
        <v>0</v>
      </c>
      <c r="X52">
        <v>2.1000000000000001E-2</v>
      </c>
      <c r="Y52">
        <v>0</v>
      </c>
      <c r="Z52" t="s">
        <v>630</v>
      </c>
      <c r="AA52">
        <v>20</v>
      </c>
      <c r="AB52">
        <v>20</v>
      </c>
      <c r="AC52">
        <v>1</v>
      </c>
      <c r="AD52">
        <v>0</v>
      </c>
      <c r="AE52">
        <v>32.727370000000001</v>
      </c>
      <c r="AF52">
        <v>39.600119999999997</v>
      </c>
      <c r="AG52">
        <v>1.2433799999999999</v>
      </c>
      <c r="AH52">
        <v>1.4920599999999999</v>
      </c>
      <c r="AI52">
        <v>6.36517</v>
      </c>
      <c r="AJ52" s="329">
        <v>367.97708999999998</v>
      </c>
      <c r="AL52">
        <v>0</v>
      </c>
      <c r="AQ52" t="s">
        <v>630</v>
      </c>
      <c r="AR52" t="s">
        <v>630</v>
      </c>
      <c r="AS52" t="s">
        <v>630</v>
      </c>
      <c r="AZ52">
        <v>0</v>
      </c>
      <c r="BA52" t="s">
        <v>740</v>
      </c>
      <c r="BB52" t="s">
        <v>1370</v>
      </c>
      <c r="BC52" t="s">
        <v>739</v>
      </c>
      <c r="BD52" t="s">
        <v>2055</v>
      </c>
      <c r="BE52" s="330">
        <v>43138.478437500002</v>
      </c>
      <c r="BH52" t="str">
        <f>VLOOKUP(B:B,výpočty!$Z$246:$Z$515,1,FALSE)</f>
        <v>R00043</v>
      </c>
    </row>
    <row r="53" spans="1:60" x14ac:dyDescent="0.25">
      <c r="A53">
        <v>112002</v>
      </c>
      <c r="B53" t="s">
        <v>726</v>
      </c>
      <c r="C53" t="s">
        <v>727</v>
      </c>
      <c r="F53">
        <v>0</v>
      </c>
      <c r="G53">
        <v>222</v>
      </c>
      <c r="H53">
        <v>0</v>
      </c>
      <c r="I53">
        <v>0</v>
      </c>
      <c r="J53" t="s">
        <v>657</v>
      </c>
      <c r="L53">
        <v>1</v>
      </c>
      <c r="M53">
        <v>1</v>
      </c>
      <c r="N53">
        <v>1</v>
      </c>
      <c r="O53">
        <v>0</v>
      </c>
      <c r="R53">
        <v>0</v>
      </c>
      <c r="U53">
        <v>1</v>
      </c>
      <c r="V53">
        <v>0.219</v>
      </c>
      <c r="W53">
        <v>0</v>
      </c>
      <c r="X53">
        <v>2.1000000000000001E-2</v>
      </c>
      <c r="Y53">
        <v>0</v>
      </c>
      <c r="Z53" t="s">
        <v>630</v>
      </c>
      <c r="AA53">
        <v>20</v>
      </c>
      <c r="AB53">
        <v>20</v>
      </c>
      <c r="AC53">
        <v>1</v>
      </c>
      <c r="AD53">
        <v>0</v>
      </c>
      <c r="AE53">
        <v>32.727370000000001</v>
      </c>
      <c r="AF53">
        <v>39.600119999999997</v>
      </c>
      <c r="AG53">
        <v>1.2433799999999999</v>
      </c>
      <c r="AH53">
        <v>1.4920599999999999</v>
      </c>
      <c r="AI53">
        <v>6.36517</v>
      </c>
      <c r="AJ53">
        <v>367.97708999999998</v>
      </c>
      <c r="AL53">
        <v>0</v>
      </c>
      <c r="AQ53" t="s">
        <v>630</v>
      </c>
      <c r="AR53" t="s">
        <v>630</v>
      </c>
      <c r="AS53" t="s">
        <v>630</v>
      </c>
      <c r="AZ53">
        <v>0</v>
      </c>
      <c r="BA53" t="s">
        <v>729</v>
      </c>
      <c r="BB53" t="s">
        <v>1367</v>
      </c>
      <c r="BC53" t="s">
        <v>728</v>
      </c>
      <c r="BD53" t="s">
        <v>2055</v>
      </c>
      <c r="BE53" s="330">
        <v>43138.470358796294</v>
      </c>
      <c r="BH53" t="str">
        <f>VLOOKUP(B:B,výpočty!$Z$246:$Z$515,1,FALSE)</f>
        <v>R00040</v>
      </c>
    </row>
    <row r="54" spans="1:60" x14ac:dyDescent="0.25">
      <c r="A54">
        <v>112002</v>
      </c>
      <c r="B54" t="s">
        <v>730</v>
      </c>
      <c r="C54" t="s">
        <v>731</v>
      </c>
      <c r="F54">
        <v>0</v>
      </c>
      <c r="G54">
        <v>222</v>
      </c>
      <c r="H54">
        <v>0</v>
      </c>
      <c r="I54">
        <v>0</v>
      </c>
      <c r="J54" t="s">
        <v>657</v>
      </c>
      <c r="L54">
        <v>1</v>
      </c>
      <c r="M54">
        <v>1</v>
      </c>
      <c r="N54">
        <v>1</v>
      </c>
      <c r="O54">
        <v>0</v>
      </c>
      <c r="R54">
        <v>0</v>
      </c>
      <c r="U54">
        <v>1</v>
      </c>
      <c r="V54">
        <v>0.219</v>
      </c>
      <c r="W54">
        <v>0</v>
      </c>
      <c r="X54">
        <v>2.1000000000000001E-2</v>
      </c>
      <c r="Y54">
        <v>0</v>
      </c>
      <c r="Z54" t="s">
        <v>630</v>
      </c>
      <c r="AA54" s="331">
        <v>20</v>
      </c>
      <c r="AB54" s="329">
        <v>20</v>
      </c>
      <c r="AC54">
        <v>1</v>
      </c>
      <c r="AD54">
        <v>0</v>
      </c>
      <c r="AE54">
        <v>32.727370000000001</v>
      </c>
      <c r="AF54">
        <v>39.600119999999997</v>
      </c>
      <c r="AG54">
        <v>1.2433799999999999</v>
      </c>
      <c r="AH54">
        <v>1.4920599999999999</v>
      </c>
      <c r="AI54">
        <v>6.36517</v>
      </c>
      <c r="AJ54">
        <v>367.97708999999998</v>
      </c>
      <c r="AL54">
        <v>0</v>
      </c>
      <c r="AQ54" t="s">
        <v>630</v>
      </c>
      <c r="AR54" t="s">
        <v>630</v>
      </c>
      <c r="AS54" t="s">
        <v>630</v>
      </c>
      <c r="AZ54">
        <v>0</v>
      </c>
      <c r="BA54" t="s">
        <v>733</v>
      </c>
      <c r="BB54" t="s">
        <v>1368</v>
      </c>
      <c r="BC54" t="s">
        <v>732</v>
      </c>
      <c r="BD54" t="s">
        <v>2055</v>
      </c>
      <c r="BE54" s="330">
        <v>43138.469236111108</v>
      </c>
      <c r="BH54" t="str">
        <f>VLOOKUP(B:B,výpočty!$Z$246:$Z$515,1,FALSE)</f>
        <v>R00041</v>
      </c>
    </row>
    <row r="55" spans="1:60" x14ac:dyDescent="0.25">
      <c r="A55">
        <v>112002</v>
      </c>
      <c r="B55" t="s">
        <v>445</v>
      </c>
      <c r="C55" t="s">
        <v>768</v>
      </c>
      <c r="F55">
        <v>0</v>
      </c>
      <c r="G55">
        <v>222</v>
      </c>
      <c r="H55">
        <v>0</v>
      </c>
      <c r="I55">
        <v>0</v>
      </c>
      <c r="J55" t="s">
        <v>643</v>
      </c>
      <c r="L55">
        <v>1</v>
      </c>
      <c r="M55">
        <v>1</v>
      </c>
      <c r="N55">
        <v>1</v>
      </c>
      <c r="O55">
        <v>0</v>
      </c>
      <c r="R55">
        <v>0</v>
      </c>
      <c r="U55">
        <v>1</v>
      </c>
      <c r="V55">
        <v>8.6999999999999994E-2</v>
      </c>
      <c r="W55">
        <v>0</v>
      </c>
      <c r="X55">
        <v>6.0000000000000001E-3</v>
      </c>
      <c r="Y55">
        <v>0</v>
      </c>
      <c r="Z55" t="s">
        <v>630</v>
      </c>
      <c r="AA55">
        <v>50</v>
      </c>
      <c r="AB55">
        <v>50</v>
      </c>
      <c r="AC55">
        <v>1</v>
      </c>
      <c r="AD55">
        <v>0</v>
      </c>
      <c r="AE55">
        <v>63.773499999999999</v>
      </c>
      <c r="AF55">
        <v>77.165940000000006</v>
      </c>
      <c r="AG55">
        <v>2.4228900000000002</v>
      </c>
      <c r="AH55">
        <v>2.90747</v>
      </c>
      <c r="AI55">
        <v>12.403359999999999</v>
      </c>
      <c r="AJ55" s="329">
        <v>717.05061000000001</v>
      </c>
      <c r="AL55">
        <v>0</v>
      </c>
      <c r="AQ55" t="s">
        <v>630</v>
      </c>
      <c r="AR55" t="s">
        <v>630</v>
      </c>
      <c r="AS55" t="s">
        <v>630</v>
      </c>
      <c r="AZ55">
        <v>0</v>
      </c>
      <c r="BA55" t="s">
        <v>1547</v>
      </c>
      <c r="BB55" t="s">
        <v>1374</v>
      </c>
      <c r="BC55" t="s">
        <v>769</v>
      </c>
      <c r="BD55" t="s">
        <v>2055</v>
      </c>
      <c r="BE55" s="330">
        <v>43138.470439814817</v>
      </c>
      <c r="BH55" t="str">
        <f>VLOOKUP(B:B,výpočty!$Z$246:$Z$515,1,FALSE)</f>
        <v>R00053</v>
      </c>
    </row>
    <row r="56" spans="1:60" x14ac:dyDescent="0.25">
      <c r="A56">
        <v>112002</v>
      </c>
      <c r="B56">
        <v>365389</v>
      </c>
      <c r="C56" t="s">
        <v>2083</v>
      </c>
      <c r="F56">
        <v>0</v>
      </c>
      <c r="G56">
        <v>222</v>
      </c>
      <c r="H56">
        <v>0</v>
      </c>
      <c r="I56">
        <v>0</v>
      </c>
      <c r="J56" t="s">
        <v>723</v>
      </c>
      <c r="L56">
        <v>1</v>
      </c>
      <c r="M56">
        <v>1</v>
      </c>
      <c r="N56">
        <v>1</v>
      </c>
      <c r="O56">
        <v>0</v>
      </c>
      <c r="R56">
        <v>0</v>
      </c>
      <c r="U56">
        <v>1</v>
      </c>
      <c r="V56">
        <v>0</v>
      </c>
      <c r="W56">
        <v>0</v>
      </c>
      <c r="X56">
        <v>0.20300000000000001</v>
      </c>
      <c r="Y56">
        <v>0</v>
      </c>
      <c r="Z56" t="s">
        <v>2084</v>
      </c>
      <c r="AA56">
        <v>1</v>
      </c>
      <c r="AB56">
        <v>1</v>
      </c>
      <c r="AC56">
        <v>1</v>
      </c>
      <c r="AD56">
        <v>0</v>
      </c>
      <c r="AE56" s="329">
        <v>8242.9515499999998</v>
      </c>
      <c r="AF56" s="329">
        <v>9973.9713800000009</v>
      </c>
      <c r="AG56">
        <v>0</v>
      </c>
      <c r="AH56">
        <v>0</v>
      </c>
      <c r="AI56">
        <v>0</v>
      </c>
      <c r="AJ56">
        <v>0</v>
      </c>
      <c r="AL56">
        <v>0</v>
      </c>
      <c r="AN56" t="s">
        <v>2085</v>
      </c>
      <c r="AQ56" t="s">
        <v>2084</v>
      </c>
      <c r="AR56" t="s">
        <v>2084</v>
      </c>
      <c r="AS56" t="s">
        <v>2084</v>
      </c>
      <c r="AZ56">
        <v>0</v>
      </c>
      <c r="BD56" t="s">
        <v>2086</v>
      </c>
      <c r="BE56" s="330">
        <v>43276.750324074077</v>
      </c>
      <c r="BH56">
        <f>VLOOKUP(B:B,výpočty!$Z$246:$Z$515,1,FALSE)</f>
        <v>365389</v>
      </c>
    </row>
    <row r="57" spans="1:60" x14ac:dyDescent="0.25">
      <c r="A57">
        <v>112002</v>
      </c>
      <c r="B57" t="s">
        <v>684</v>
      </c>
      <c r="C57" t="s">
        <v>685</v>
      </c>
      <c r="F57">
        <v>0</v>
      </c>
      <c r="G57">
        <v>222</v>
      </c>
      <c r="H57">
        <v>0</v>
      </c>
      <c r="I57">
        <v>0</v>
      </c>
      <c r="J57" t="s">
        <v>643</v>
      </c>
      <c r="L57">
        <v>1</v>
      </c>
      <c r="M57">
        <v>1</v>
      </c>
      <c r="N57">
        <v>1</v>
      </c>
      <c r="O57">
        <v>0</v>
      </c>
      <c r="R57">
        <v>0</v>
      </c>
      <c r="U57">
        <v>1</v>
      </c>
      <c r="V57">
        <v>0.109</v>
      </c>
      <c r="W57">
        <v>0</v>
      </c>
      <c r="X57">
        <v>7.0000000000000001E-3</v>
      </c>
      <c r="Y57">
        <v>0</v>
      </c>
      <c r="Z57" t="s">
        <v>1924</v>
      </c>
      <c r="AA57">
        <v>40</v>
      </c>
      <c r="AB57">
        <v>1</v>
      </c>
      <c r="AC57">
        <v>1</v>
      </c>
      <c r="AD57">
        <v>0</v>
      </c>
      <c r="AE57">
        <v>18.753430000000002</v>
      </c>
      <c r="AF57">
        <v>22.691649999999999</v>
      </c>
      <c r="AG57">
        <v>0.71248</v>
      </c>
      <c r="AH57">
        <v>0.85497999999999996</v>
      </c>
      <c r="AI57">
        <v>3.6473800000000001</v>
      </c>
      <c r="AJ57" s="329">
        <v>210.85816</v>
      </c>
      <c r="AL57">
        <v>0</v>
      </c>
      <c r="AQ57" t="s">
        <v>1924</v>
      </c>
      <c r="AR57" t="s">
        <v>1924</v>
      </c>
      <c r="AS57" t="s">
        <v>1924</v>
      </c>
      <c r="AZ57">
        <v>0</v>
      </c>
      <c r="BA57" t="s">
        <v>2089</v>
      </c>
      <c r="BB57" t="s">
        <v>1355</v>
      </c>
      <c r="BC57" t="s">
        <v>686</v>
      </c>
      <c r="BD57" t="s">
        <v>2055</v>
      </c>
      <c r="BE57" s="330">
        <v>43138.478310185186</v>
      </c>
      <c r="BH57" t="str">
        <f>VLOOKUP(B:B,výpočty!$Z$246:$Z$515,1,FALSE)</f>
        <v>R00023</v>
      </c>
    </row>
    <row r="58" spans="1:60" x14ac:dyDescent="0.25">
      <c r="A58">
        <v>112002</v>
      </c>
      <c r="B58" t="s">
        <v>663</v>
      </c>
      <c r="C58" t="s">
        <v>664</v>
      </c>
      <c r="F58">
        <v>0</v>
      </c>
      <c r="G58">
        <v>222</v>
      </c>
      <c r="H58">
        <v>0</v>
      </c>
      <c r="I58">
        <v>0</v>
      </c>
      <c r="J58" t="s">
        <v>1727</v>
      </c>
      <c r="L58">
        <v>1</v>
      </c>
      <c r="M58">
        <v>1</v>
      </c>
      <c r="N58">
        <v>1</v>
      </c>
      <c r="O58">
        <v>0</v>
      </c>
      <c r="R58">
        <v>0</v>
      </c>
      <c r="U58">
        <v>1</v>
      </c>
      <c r="V58">
        <v>0.65</v>
      </c>
      <c r="W58">
        <v>0</v>
      </c>
      <c r="X58">
        <v>7.0000000000000007E-2</v>
      </c>
      <c r="Y58">
        <v>0</v>
      </c>
      <c r="Z58" t="s">
        <v>1924</v>
      </c>
      <c r="AA58">
        <v>50</v>
      </c>
      <c r="AB58">
        <v>2.5</v>
      </c>
      <c r="AC58">
        <v>1</v>
      </c>
      <c r="AD58">
        <v>0</v>
      </c>
      <c r="AE58">
        <v>44.426430000000003</v>
      </c>
      <c r="AF58">
        <v>53.755980000000001</v>
      </c>
      <c r="AG58">
        <v>1.6878500000000001</v>
      </c>
      <c r="AH58">
        <v>2.02542</v>
      </c>
      <c r="AI58">
        <v>8.6405399999999997</v>
      </c>
      <c r="AJ58">
        <v>499.51792999999998</v>
      </c>
      <c r="AL58">
        <v>0</v>
      </c>
      <c r="AQ58" t="s">
        <v>1924</v>
      </c>
      <c r="AR58" t="s">
        <v>1924</v>
      </c>
      <c r="AS58" t="s">
        <v>1924</v>
      </c>
      <c r="AZ58">
        <v>0</v>
      </c>
      <c r="BA58" t="s">
        <v>2088</v>
      </c>
      <c r="BB58" t="s">
        <v>1347</v>
      </c>
      <c r="BC58" t="s">
        <v>665</v>
      </c>
      <c r="BD58" t="s">
        <v>2055</v>
      </c>
      <c r="BE58" s="330">
        <v>43138.470196759263</v>
      </c>
      <c r="BH58" t="str">
        <f>VLOOKUP(B:B,výpočty!$Z$246:$Z$515,1,FALSE)</f>
        <v>R00015</v>
      </c>
    </row>
    <row r="59" spans="1:60" x14ac:dyDescent="0.25">
      <c r="A59">
        <v>112002</v>
      </c>
      <c r="B59">
        <v>353559</v>
      </c>
      <c r="C59" t="s">
        <v>2103</v>
      </c>
      <c r="F59">
        <v>0</v>
      </c>
      <c r="G59">
        <v>222</v>
      </c>
      <c r="H59">
        <v>0</v>
      </c>
      <c r="I59">
        <v>0</v>
      </c>
      <c r="J59" t="s">
        <v>1727</v>
      </c>
      <c r="L59">
        <v>1</v>
      </c>
      <c r="M59">
        <v>1</v>
      </c>
      <c r="N59">
        <v>1</v>
      </c>
      <c r="O59">
        <v>0</v>
      </c>
      <c r="R59">
        <v>0</v>
      </c>
      <c r="U59">
        <v>1</v>
      </c>
      <c r="V59">
        <v>0.36</v>
      </c>
      <c r="W59">
        <v>0.02</v>
      </c>
      <c r="X59">
        <v>0.111</v>
      </c>
      <c r="Y59">
        <v>0</v>
      </c>
      <c r="Z59" t="s">
        <v>1924</v>
      </c>
      <c r="AA59">
        <v>20</v>
      </c>
      <c r="AB59">
        <v>0.1</v>
      </c>
      <c r="AC59">
        <v>1</v>
      </c>
      <c r="AD59">
        <v>0</v>
      </c>
      <c r="AE59">
        <v>151.18931000000001</v>
      </c>
      <c r="AF59">
        <v>182.93906999999999</v>
      </c>
      <c r="AG59">
        <v>5.7439799999999996</v>
      </c>
      <c r="AH59">
        <v>6.8927800000000001</v>
      </c>
      <c r="AI59">
        <v>29.40494</v>
      </c>
      <c r="AJ59" s="329">
        <v>1699.9286099999999</v>
      </c>
      <c r="AL59">
        <v>0</v>
      </c>
      <c r="AN59" t="s">
        <v>2104</v>
      </c>
      <c r="AQ59" t="s">
        <v>1924</v>
      </c>
      <c r="AR59" t="s">
        <v>1924</v>
      </c>
      <c r="AS59" t="s">
        <v>1924</v>
      </c>
      <c r="AZ59">
        <v>10</v>
      </c>
      <c r="BA59" t="s">
        <v>2105</v>
      </c>
      <c r="BB59" t="s">
        <v>2212</v>
      </c>
      <c r="BC59" t="s">
        <v>2106</v>
      </c>
      <c r="BD59" t="s">
        <v>2208</v>
      </c>
      <c r="BE59" s="330">
        <v>43333.61005787037</v>
      </c>
      <c r="BH59">
        <f>VLOOKUP(B:B,výpočty!$Z$246:$Z$515,1,FALSE)</f>
        <v>353559</v>
      </c>
    </row>
    <row r="60" spans="1:60" x14ac:dyDescent="0.25">
      <c r="A60">
        <v>112002</v>
      </c>
      <c r="B60">
        <v>353554</v>
      </c>
      <c r="C60" t="s">
        <v>2091</v>
      </c>
      <c r="F60">
        <v>0</v>
      </c>
      <c r="G60">
        <v>222</v>
      </c>
      <c r="H60">
        <v>0</v>
      </c>
      <c r="I60">
        <v>0</v>
      </c>
      <c r="J60" t="s">
        <v>1727</v>
      </c>
      <c r="L60">
        <v>1</v>
      </c>
      <c r="M60">
        <v>1</v>
      </c>
      <c r="N60">
        <v>1</v>
      </c>
      <c r="O60">
        <v>0</v>
      </c>
      <c r="R60">
        <v>0</v>
      </c>
      <c r="U60">
        <v>1</v>
      </c>
      <c r="V60">
        <v>0.53</v>
      </c>
      <c r="W60">
        <v>6.6299999999999998E-2</v>
      </c>
      <c r="X60">
        <v>0.20300000000000001</v>
      </c>
      <c r="Y60">
        <v>0</v>
      </c>
      <c r="Z60" t="s">
        <v>1924</v>
      </c>
      <c r="AA60">
        <v>330</v>
      </c>
      <c r="AB60">
        <v>2.5</v>
      </c>
      <c r="AC60">
        <v>1</v>
      </c>
      <c r="AD60">
        <v>0</v>
      </c>
      <c r="AE60">
        <v>56.273949999999999</v>
      </c>
      <c r="AF60">
        <v>68.091480000000004</v>
      </c>
      <c r="AG60">
        <v>0</v>
      </c>
      <c r="AH60">
        <v>0</v>
      </c>
      <c r="AI60">
        <v>10.94476</v>
      </c>
      <c r="AJ60">
        <v>632.72772999999995</v>
      </c>
      <c r="AL60">
        <v>0</v>
      </c>
      <c r="AN60" t="s">
        <v>2092</v>
      </c>
      <c r="AQ60" t="s">
        <v>1924</v>
      </c>
      <c r="AR60" t="s">
        <v>1924</v>
      </c>
      <c r="AS60" t="s">
        <v>1924</v>
      </c>
      <c r="AZ60">
        <v>10</v>
      </c>
      <c r="BA60" t="s">
        <v>2093</v>
      </c>
      <c r="BB60" t="s">
        <v>2209</v>
      </c>
      <c r="BC60" t="s">
        <v>2094</v>
      </c>
      <c r="BD60" t="s">
        <v>2208</v>
      </c>
      <c r="BE60" s="330">
        <v>43333.587488425925</v>
      </c>
      <c r="BH60">
        <f>VLOOKUP(B:B,výpočty!$Z$246:$Z$515,1,FALSE)</f>
        <v>353554</v>
      </c>
    </row>
    <row r="61" spans="1:60" x14ac:dyDescent="0.25">
      <c r="A61">
        <v>112002</v>
      </c>
      <c r="B61" t="s">
        <v>636</v>
      </c>
      <c r="C61" t="s">
        <v>637</v>
      </c>
      <c r="F61">
        <v>0</v>
      </c>
      <c r="G61">
        <v>222</v>
      </c>
      <c r="H61">
        <v>0</v>
      </c>
      <c r="I61">
        <v>0</v>
      </c>
      <c r="J61" t="s">
        <v>1727</v>
      </c>
      <c r="L61">
        <v>1</v>
      </c>
      <c r="M61">
        <v>1</v>
      </c>
      <c r="N61">
        <v>1</v>
      </c>
      <c r="O61">
        <v>0</v>
      </c>
      <c r="R61">
        <v>0</v>
      </c>
      <c r="U61">
        <v>1</v>
      </c>
      <c r="V61">
        <v>0.88900000000000001</v>
      </c>
      <c r="W61">
        <v>0</v>
      </c>
      <c r="X61">
        <v>0.20300000000000001</v>
      </c>
      <c r="Y61">
        <v>0</v>
      </c>
      <c r="Z61" t="s">
        <v>1924</v>
      </c>
      <c r="AA61">
        <v>225</v>
      </c>
      <c r="AB61">
        <v>2.5</v>
      </c>
      <c r="AC61">
        <v>1</v>
      </c>
      <c r="AD61">
        <v>0</v>
      </c>
      <c r="AE61">
        <v>92.421769999999995</v>
      </c>
      <c r="AF61">
        <v>111.83034000000001</v>
      </c>
      <c r="AG61">
        <v>3.5112800000000002</v>
      </c>
      <c r="AH61">
        <v>4.2135400000000001</v>
      </c>
      <c r="AI61">
        <v>17.975190000000001</v>
      </c>
      <c r="AJ61" s="329">
        <v>1039.1634799999999</v>
      </c>
      <c r="AL61">
        <v>0</v>
      </c>
      <c r="AQ61" t="s">
        <v>1924</v>
      </c>
      <c r="AR61" t="s">
        <v>1924</v>
      </c>
      <c r="AS61" t="s">
        <v>1924</v>
      </c>
      <c r="AZ61">
        <v>0</v>
      </c>
      <c r="BA61" t="s">
        <v>2087</v>
      </c>
      <c r="BB61" t="s">
        <v>1340</v>
      </c>
      <c r="BC61" t="s">
        <v>637</v>
      </c>
      <c r="BD61" t="s">
        <v>2055</v>
      </c>
      <c r="BE61" s="330">
        <v>43138.471354166664</v>
      </c>
      <c r="BH61" t="str">
        <f>VLOOKUP(B:B,výpočty!$Z$246:$Z$515,1,FALSE)</f>
        <v>R00003</v>
      </c>
    </row>
    <row r="62" spans="1:60" x14ac:dyDescent="0.25">
      <c r="A62">
        <v>112002</v>
      </c>
      <c r="B62">
        <v>353556</v>
      </c>
      <c r="C62" t="s">
        <v>2095</v>
      </c>
      <c r="F62">
        <v>0</v>
      </c>
      <c r="G62">
        <v>222</v>
      </c>
      <c r="H62">
        <v>0</v>
      </c>
      <c r="I62">
        <v>0</v>
      </c>
      <c r="J62" t="s">
        <v>1727</v>
      </c>
      <c r="L62">
        <v>1</v>
      </c>
      <c r="M62">
        <v>1</v>
      </c>
      <c r="N62">
        <v>1</v>
      </c>
      <c r="O62">
        <v>0</v>
      </c>
      <c r="R62">
        <v>0</v>
      </c>
      <c r="U62">
        <v>1</v>
      </c>
      <c r="V62">
        <v>1.05</v>
      </c>
      <c r="W62">
        <v>8.7499999999999994E-2</v>
      </c>
      <c r="X62">
        <v>0.3</v>
      </c>
      <c r="Y62">
        <v>0</v>
      </c>
      <c r="Z62" t="s">
        <v>1924</v>
      </c>
      <c r="AA62">
        <v>20</v>
      </c>
      <c r="AB62">
        <v>2.5</v>
      </c>
      <c r="AC62">
        <v>1</v>
      </c>
      <c r="AD62">
        <v>0</v>
      </c>
      <c r="AE62">
        <v>66.631270000000001</v>
      </c>
      <c r="AF62">
        <v>80.623840000000001</v>
      </c>
      <c r="AG62">
        <v>2.53146</v>
      </c>
      <c r="AH62">
        <v>3.03775</v>
      </c>
      <c r="AI62">
        <v>12.95917</v>
      </c>
      <c r="AJ62">
        <v>749.18259</v>
      </c>
      <c r="AL62">
        <v>0</v>
      </c>
      <c r="AN62" t="s">
        <v>2096</v>
      </c>
      <c r="AQ62" t="s">
        <v>1924</v>
      </c>
      <c r="AR62" t="s">
        <v>1924</v>
      </c>
      <c r="AS62" t="s">
        <v>1924</v>
      </c>
      <c r="AZ62">
        <v>10</v>
      </c>
      <c r="BA62" t="s">
        <v>2097</v>
      </c>
      <c r="BB62" t="s">
        <v>2210</v>
      </c>
      <c r="BC62" t="s">
        <v>2098</v>
      </c>
      <c r="BD62" t="s">
        <v>2208</v>
      </c>
      <c r="BE62" s="330">
        <v>43333.588067129633</v>
      </c>
      <c r="BH62">
        <f>VLOOKUP(B:B,výpočty!$Z$246:$Z$515,1,FALSE)</f>
        <v>353556</v>
      </c>
    </row>
    <row r="63" spans="1:60" x14ac:dyDescent="0.25">
      <c r="A63">
        <v>112002</v>
      </c>
      <c r="B63">
        <v>353560</v>
      </c>
      <c r="C63" t="s">
        <v>2107</v>
      </c>
      <c r="F63">
        <v>0</v>
      </c>
      <c r="G63">
        <v>222</v>
      </c>
      <c r="H63">
        <v>0</v>
      </c>
      <c r="I63">
        <v>0</v>
      </c>
      <c r="J63" t="s">
        <v>1727</v>
      </c>
      <c r="L63">
        <v>1</v>
      </c>
      <c r="M63">
        <v>1</v>
      </c>
      <c r="N63">
        <v>1</v>
      </c>
      <c r="O63">
        <v>0</v>
      </c>
      <c r="R63">
        <v>0</v>
      </c>
      <c r="U63">
        <v>1</v>
      </c>
      <c r="V63">
        <v>2.875</v>
      </c>
      <c r="W63">
        <v>0.115</v>
      </c>
      <c r="X63">
        <v>0.29799999999999999</v>
      </c>
      <c r="Y63">
        <v>0</v>
      </c>
      <c r="Z63" t="s">
        <v>1924</v>
      </c>
      <c r="AA63">
        <v>20</v>
      </c>
      <c r="AB63">
        <v>0.1</v>
      </c>
      <c r="AC63">
        <v>1</v>
      </c>
      <c r="AD63">
        <v>0</v>
      </c>
      <c r="AE63">
        <v>163.69667000000001</v>
      </c>
      <c r="AF63">
        <v>198.07297</v>
      </c>
      <c r="AG63">
        <v>6.21915</v>
      </c>
      <c r="AH63">
        <v>7.4629799999999999</v>
      </c>
      <c r="AI63">
        <v>31.837499999999999</v>
      </c>
      <c r="AJ63" s="329">
        <v>1840.55773</v>
      </c>
      <c r="AL63">
        <v>0</v>
      </c>
      <c r="AN63" t="s">
        <v>2108</v>
      </c>
      <c r="AQ63" t="s">
        <v>1924</v>
      </c>
      <c r="AR63" t="s">
        <v>1924</v>
      </c>
      <c r="AS63" t="s">
        <v>1924</v>
      </c>
      <c r="AZ63">
        <v>10</v>
      </c>
      <c r="BA63" t="s">
        <v>2109</v>
      </c>
      <c r="BB63" t="s">
        <v>2213</v>
      </c>
      <c r="BC63" t="s">
        <v>2110</v>
      </c>
      <c r="BD63" t="s">
        <v>2208</v>
      </c>
      <c r="BE63" s="330">
        <v>43333.610543981478</v>
      </c>
      <c r="BH63">
        <f>VLOOKUP(B:B,výpočty!$Z$246:$Z$515,1,FALSE)</f>
        <v>353560</v>
      </c>
    </row>
    <row r="64" spans="1:60" x14ac:dyDescent="0.25">
      <c r="A64">
        <v>112002</v>
      </c>
      <c r="B64">
        <v>353557</v>
      </c>
      <c r="C64" t="s">
        <v>2099</v>
      </c>
      <c r="F64">
        <v>0</v>
      </c>
      <c r="G64">
        <v>222</v>
      </c>
      <c r="H64">
        <v>0</v>
      </c>
      <c r="I64">
        <v>0</v>
      </c>
      <c r="J64" t="s">
        <v>1727</v>
      </c>
      <c r="L64">
        <v>1</v>
      </c>
      <c r="M64">
        <v>1</v>
      </c>
      <c r="N64">
        <v>1</v>
      </c>
      <c r="O64">
        <v>0</v>
      </c>
      <c r="R64">
        <v>0</v>
      </c>
      <c r="U64">
        <v>1</v>
      </c>
      <c r="V64">
        <v>3.03125</v>
      </c>
      <c r="W64">
        <v>0.12130000000000001</v>
      </c>
      <c r="X64">
        <v>0.54900000000000004</v>
      </c>
      <c r="Y64">
        <v>0</v>
      </c>
      <c r="Z64" t="s">
        <v>1924</v>
      </c>
      <c r="AA64">
        <v>20</v>
      </c>
      <c r="AB64">
        <v>0.1</v>
      </c>
      <c r="AC64">
        <v>1</v>
      </c>
      <c r="AD64">
        <v>0</v>
      </c>
      <c r="AE64">
        <v>301.26244000000003</v>
      </c>
      <c r="AF64">
        <v>364.52755000000002</v>
      </c>
      <c r="AG64">
        <v>11.44553</v>
      </c>
      <c r="AH64">
        <v>13.734640000000001</v>
      </c>
      <c r="AI64">
        <v>58.592779999999998</v>
      </c>
      <c r="AJ64" s="329">
        <v>3387.3070499999999</v>
      </c>
      <c r="AL64">
        <v>0</v>
      </c>
      <c r="AN64" t="s">
        <v>2100</v>
      </c>
      <c r="AQ64" t="s">
        <v>1924</v>
      </c>
      <c r="AR64" t="s">
        <v>1924</v>
      </c>
      <c r="AS64" t="s">
        <v>1924</v>
      </c>
      <c r="AZ64">
        <v>10</v>
      </c>
      <c r="BA64" t="s">
        <v>2101</v>
      </c>
      <c r="BB64" t="s">
        <v>2211</v>
      </c>
      <c r="BC64" t="s">
        <v>2102</v>
      </c>
      <c r="BD64" t="s">
        <v>2208</v>
      </c>
      <c r="BE64" s="330">
        <v>43333.609571759262</v>
      </c>
      <c r="BH64">
        <f>VLOOKUP(B:B,výpočty!$Z$246:$Z$515,1,FALSE)</f>
        <v>353557</v>
      </c>
    </row>
    <row r="65" spans="1:60" x14ac:dyDescent="0.25">
      <c r="A65">
        <v>112002</v>
      </c>
      <c r="B65">
        <v>353561</v>
      </c>
      <c r="C65" t="s">
        <v>2111</v>
      </c>
      <c r="F65">
        <v>0</v>
      </c>
      <c r="G65">
        <v>222</v>
      </c>
      <c r="H65">
        <v>0</v>
      </c>
      <c r="I65">
        <v>0</v>
      </c>
      <c r="J65" t="s">
        <v>657</v>
      </c>
      <c r="L65">
        <v>1</v>
      </c>
      <c r="M65">
        <v>1</v>
      </c>
      <c r="N65">
        <v>1</v>
      </c>
      <c r="O65">
        <v>0</v>
      </c>
      <c r="R65">
        <v>0</v>
      </c>
      <c r="U65">
        <v>1</v>
      </c>
      <c r="V65">
        <v>9.7000000000000003E-3</v>
      </c>
      <c r="W65">
        <v>1.1999999999999999E-3</v>
      </c>
      <c r="X65">
        <v>1.9E-2</v>
      </c>
      <c r="Y65">
        <v>0</v>
      </c>
      <c r="Z65" t="s">
        <v>1924</v>
      </c>
      <c r="AA65">
        <v>20</v>
      </c>
      <c r="AB65">
        <v>1</v>
      </c>
      <c r="AC65">
        <v>1</v>
      </c>
      <c r="AD65">
        <v>0</v>
      </c>
      <c r="AE65">
        <v>30.464040000000001</v>
      </c>
      <c r="AF65">
        <v>36.861490000000003</v>
      </c>
      <c r="AG65">
        <v>1.1573800000000001</v>
      </c>
      <c r="AH65">
        <v>1.38886</v>
      </c>
      <c r="AI65">
        <v>5.9249700000000001</v>
      </c>
      <c r="AJ65" s="329">
        <v>342.52873</v>
      </c>
      <c r="AL65">
        <v>0</v>
      </c>
      <c r="AN65" t="s">
        <v>2111</v>
      </c>
      <c r="AQ65" t="s">
        <v>1924</v>
      </c>
      <c r="AR65" t="s">
        <v>1924</v>
      </c>
      <c r="AS65" t="s">
        <v>1924</v>
      </c>
      <c r="AZ65">
        <v>10</v>
      </c>
      <c r="BA65" t="s">
        <v>2112</v>
      </c>
      <c r="BB65" t="s">
        <v>2214</v>
      </c>
      <c r="BC65" t="s">
        <v>2113</v>
      </c>
      <c r="BD65" t="s">
        <v>2208</v>
      </c>
      <c r="BE65" s="330">
        <v>43333.610972222225</v>
      </c>
      <c r="BH65">
        <f>VLOOKUP(B:B,výpočty!$Z$246:$Z$515,1,FALSE)</f>
        <v>353561</v>
      </c>
    </row>
    <row r="66" spans="1:60" x14ac:dyDescent="0.25">
      <c r="A66">
        <v>112002</v>
      </c>
      <c r="B66" t="s">
        <v>734</v>
      </c>
      <c r="C66" t="s">
        <v>735</v>
      </c>
      <c r="F66">
        <v>0</v>
      </c>
      <c r="G66">
        <v>222</v>
      </c>
      <c r="H66">
        <v>0</v>
      </c>
      <c r="I66">
        <v>0</v>
      </c>
      <c r="J66" t="s">
        <v>657</v>
      </c>
      <c r="L66">
        <v>1</v>
      </c>
      <c r="M66">
        <v>1</v>
      </c>
      <c r="N66">
        <v>1</v>
      </c>
      <c r="O66">
        <v>0</v>
      </c>
      <c r="R66">
        <v>0</v>
      </c>
      <c r="U66">
        <v>1</v>
      </c>
      <c r="V66">
        <v>0.219</v>
      </c>
      <c r="W66">
        <v>0</v>
      </c>
      <c r="X66">
        <v>2.1000000000000001E-2</v>
      </c>
      <c r="Y66">
        <v>0</v>
      </c>
      <c r="Z66" t="s">
        <v>1924</v>
      </c>
      <c r="AA66">
        <v>20</v>
      </c>
      <c r="AB66">
        <v>1</v>
      </c>
      <c r="AC66">
        <v>1</v>
      </c>
      <c r="AD66">
        <v>0</v>
      </c>
      <c r="AE66">
        <v>32.727370000000001</v>
      </c>
      <c r="AF66">
        <v>39.600119999999997</v>
      </c>
      <c r="AG66">
        <v>1.2433799999999999</v>
      </c>
      <c r="AH66">
        <v>1.4920599999999999</v>
      </c>
      <c r="AI66">
        <v>6.36517</v>
      </c>
      <c r="AJ66" s="329">
        <v>367.97708999999998</v>
      </c>
      <c r="AL66">
        <v>0</v>
      </c>
      <c r="AQ66" t="s">
        <v>1924</v>
      </c>
      <c r="AR66" t="s">
        <v>1924</v>
      </c>
      <c r="AS66" t="s">
        <v>1924</v>
      </c>
      <c r="AZ66">
        <v>0</v>
      </c>
      <c r="BA66" t="s">
        <v>2090</v>
      </c>
      <c r="BB66" t="s">
        <v>1369</v>
      </c>
      <c r="BC66" t="s">
        <v>736</v>
      </c>
      <c r="BD66" t="s">
        <v>2055</v>
      </c>
      <c r="BE66" s="330">
        <v>43138.470358796294</v>
      </c>
      <c r="BH66" t="str">
        <f>VLOOKUP(B:B,výpočty!$Z$246:$Z$515,1,FALSE)</f>
        <v>R00042</v>
      </c>
    </row>
    <row r="67" spans="1:60" x14ac:dyDescent="0.25">
      <c r="A67">
        <v>112002</v>
      </c>
      <c r="B67" t="s">
        <v>924</v>
      </c>
      <c r="C67" t="s">
        <v>925</v>
      </c>
      <c r="F67">
        <v>0</v>
      </c>
      <c r="G67">
        <v>222</v>
      </c>
      <c r="H67">
        <v>0</v>
      </c>
      <c r="I67">
        <v>0</v>
      </c>
      <c r="J67" t="s">
        <v>643</v>
      </c>
      <c r="L67">
        <v>1</v>
      </c>
      <c r="M67">
        <v>1</v>
      </c>
      <c r="N67">
        <v>1</v>
      </c>
      <c r="O67">
        <v>0</v>
      </c>
      <c r="R67">
        <v>0</v>
      </c>
      <c r="U67">
        <v>1</v>
      </c>
      <c r="V67">
        <v>4.3999999999999997E-2</v>
      </c>
      <c r="W67">
        <v>0</v>
      </c>
      <c r="X67">
        <v>8.9999999999999993E-3</v>
      </c>
      <c r="Y67">
        <v>0</v>
      </c>
      <c r="Z67" t="s">
        <v>767</v>
      </c>
      <c r="AA67">
        <v>10</v>
      </c>
      <c r="AB67">
        <v>1</v>
      </c>
      <c r="AC67">
        <v>1</v>
      </c>
      <c r="AD67">
        <v>1</v>
      </c>
      <c r="AE67">
        <v>3.0936599999999999</v>
      </c>
      <c r="AF67">
        <v>3.7433299999999998</v>
      </c>
      <c r="AG67">
        <v>0.11754000000000001</v>
      </c>
      <c r="AH67">
        <v>0.14105000000000001</v>
      </c>
      <c r="AI67">
        <v>0.60167999999999999</v>
      </c>
      <c r="AJ67" s="329">
        <v>34.784179999999999</v>
      </c>
      <c r="AL67">
        <v>0</v>
      </c>
      <c r="AN67" t="s">
        <v>2125</v>
      </c>
      <c r="AQ67" t="s">
        <v>767</v>
      </c>
      <c r="AR67" t="s">
        <v>767</v>
      </c>
      <c r="AS67" t="s">
        <v>767</v>
      </c>
      <c r="AZ67">
        <v>0</v>
      </c>
      <c r="BA67" t="s">
        <v>2126</v>
      </c>
      <c r="BB67" t="s">
        <v>1425</v>
      </c>
      <c r="BC67" t="s">
        <v>926</v>
      </c>
      <c r="BD67" t="s">
        <v>2055</v>
      </c>
      <c r="BE67" s="330">
        <v>43138.47042824074</v>
      </c>
      <c r="BH67" t="str">
        <f>VLOOKUP(B:B,výpočty!$Z$246:$Z$515,1,FALSE)</f>
        <v>R92816</v>
      </c>
    </row>
    <row r="68" spans="1:60" x14ac:dyDescent="0.25">
      <c r="A68">
        <v>112002</v>
      </c>
      <c r="B68" t="s">
        <v>592</v>
      </c>
      <c r="C68" t="s">
        <v>988</v>
      </c>
      <c r="F68">
        <v>0</v>
      </c>
      <c r="G68">
        <v>222</v>
      </c>
      <c r="H68">
        <v>0</v>
      </c>
      <c r="I68">
        <v>0</v>
      </c>
      <c r="J68" t="s">
        <v>643</v>
      </c>
      <c r="L68">
        <v>1</v>
      </c>
      <c r="M68">
        <v>1</v>
      </c>
      <c r="N68">
        <v>1</v>
      </c>
      <c r="O68">
        <v>0</v>
      </c>
      <c r="R68">
        <v>0</v>
      </c>
      <c r="U68">
        <v>1</v>
      </c>
      <c r="V68">
        <v>12.24</v>
      </c>
      <c r="W68">
        <v>0</v>
      </c>
      <c r="X68">
        <v>2.2000000000000002</v>
      </c>
      <c r="Y68">
        <v>0</v>
      </c>
      <c r="Z68" t="s">
        <v>767</v>
      </c>
      <c r="AA68">
        <v>1</v>
      </c>
      <c r="AB68">
        <v>1</v>
      </c>
      <c r="AC68">
        <v>1</v>
      </c>
      <c r="AD68">
        <v>0</v>
      </c>
      <c r="AE68" s="329">
        <v>2409.7428300000001</v>
      </c>
      <c r="AF68" s="329">
        <v>2915.7888200000002</v>
      </c>
      <c r="AG68">
        <v>91.550749999999994</v>
      </c>
      <c r="AH68">
        <v>109.8609</v>
      </c>
      <c r="AI68">
        <v>468.67286000000001</v>
      </c>
      <c r="AJ68" s="329">
        <v>27094.44541</v>
      </c>
      <c r="AL68">
        <v>0</v>
      </c>
      <c r="AN68" t="s">
        <v>2118</v>
      </c>
      <c r="AQ68" t="s">
        <v>767</v>
      </c>
      <c r="AR68" t="s">
        <v>767</v>
      </c>
      <c r="AS68" t="s">
        <v>767</v>
      </c>
      <c r="AZ68">
        <v>0</v>
      </c>
      <c r="BA68" t="s">
        <v>991</v>
      </c>
      <c r="BB68" t="s">
        <v>990</v>
      </c>
      <c r="BC68" t="s">
        <v>989</v>
      </c>
      <c r="BD68" t="s">
        <v>2055</v>
      </c>
      <c r="BE68" s="330">
        <v>43138.474363425928</v>
      </c>
      <c r="BH68" t="str">
        <f>VLOOKUP(B:B,výpočty!$Z$246:$Z$515,1,FALSE)</f>
        <v>R92852</v>
      </c>
    </row>
    <row r="69" spans="1:60" x14ac:dyDescent="0.25">
      <c r="A69">
        <v>112002</v>
      </c>
      <c r="B69" t="s">
        <v>591</v>
      </c>
      <c r="C69" t="s">
        <v>981</v>
      </c>
      <c r="F69">
        <v>0</v>
      </c>
      <c r="G69">
        <v>222</v>
      </c>
      <c r="H69">
        <v>0</v>
      </c>
      <c r="I69">
        <v>0</v>
      </c>
      <c r="J69" t="s">
        <v>643</v>
      </c>
      <c r="L69">
        <v>1</v>
      </c>
      <c r="M69">
        <v>1</v>
      </c>
      <c r="N69">
        <v>1</v>
      </c>
      <c r="O69">
        <v>0</v>
      </c>
      <c r="R69">
        <v>0</v>
      </c>
      <c r="U69">
        <v>1</v>
      </c>
      <c r="V69">
        <v>9.18</v>
      </c>
      <c r="W69">
        <v>0</v>
      </c>
      <c r="X69">
        <v>1.8</v>
      </c>
      <c r="Y69">
        <v>0</v>
      </c>
      <c r="Z69" t="s">
        <v>767</v>
      </c>
      <c r="AA69">
        <v>1</v>
      </c>
      <c r="AB69">
        <v>1</v>
      </c>
      <c r="AC69">
        <v>1</v>
      </c>
      <c r="AD69">
        <v>0</v>
      </c>
      <c r="AE69" s="329">
        <v>2279.3090699999998</v>
      </c>
      <c r="AF69" s="329">
        <v>2757.9639699999998</v>
      </c>
      <c r="AG69">
        <v>86.595339999999993</v>
      </c>
      <c r="AH69">
        <v>103.91441</v>
      </c>
      <c r="AI69">
        <v>443.30468999999999</v>
      </c>
      <c r="AJ69" s="329">
        <v>25627.88623</v>
      </c>
      <c r="AL69">
        <v>0</v>
      </c>
      <c r="AN69" t="s">
        <v>2118</v>
      </c>
      <c r="AQ69" t="s">
        <v>767</v>
      </c>
      <c r="AR69" t="s">
        <v>767</v>
      </c>
      <c r="AS69" t="s">
        <v>767</v>
      </c>
      <c r="AZ69">
        <v>0</v>
      </c>
      <c r="BA69" t="s">
        <v>984</v>
      </c>
      <c r="BB69" t="s">
        <v>983</v>
      </c>
      <c r="BC69" t="s">
        <v>982</v>
      </c>
      <c r="BD69" t="s">
        <v>2055</v>
      </c>
      <c r="BE69" s="330">
        <v>43138.474351851852</v>
      </c>
      <c r="BH69" t="str">
        <f>VLOOKUP(B:B,výpočty!$Z$246:$Z$515,1,FALSE)</f>
        <v>R92848</v>
      </c>
    </row>
    <row r="70" spans="1:60" x14ac:dyDescent="0.25">
      <c r="A70">
        <v>112002</v>
      </c>
      <c r="B70" t="s">
        <v>595</v>
      </c>
      <c r="C70" t="s">
        <v>1009</v>
      </c>
      <c r="F70">
        <v>0</v>
      </c>
      <c r="G70">
        <v>222</v>
      </c>
      <c r="H70">
        <v>0</v>
      </c>
      <c r="I70">
        <v>0</v>
      </c>
      <c r="J70" t="s">
        <v>643</v>
      </c>
      <c r="L70">
        <v>1</v>
      </c>
      <c r="M70">
        <v>1</v>
      </c>
      <c r="N70">
        <v>1</v>
      </c>
      <c r="O70">
        <v>0</v>
      </c>
      <c r="R70">
        <v>0</v>
      </c>
      <c r="U70">
        <v>1</v>
      </c>
      <c r="V70">
        <v>6.12</v>
      </c>
      <c r="W70">
        <v>0</v>
      </c>
      <c r="X70">
        <v>1.3</v>
      </c>
      <c r="Y70">
        <v>0</v>
      </c>
      <c r="Z70" t="s">
        <v>767</v>
      </c>
      <c r="AA70">
        <v>1</v>
      </c>
      <c r="AB70">
        <v>1</v>
      </c>
      <c r="AC70">
        <v>1</v>
      </c>
      <c r="AD70">
        <v>0</v>
      </c>
      <c r="AE70" s="329">
        <v>2290.6257599999999</v>
      </c>
      <c r="AF70" s="329">
        <v>2771.65717</v>
      </c>
      <c r="AG70">
        <v>87.025279999999995</v>
      </c>
      <c r="AH70">
        <v>104.43034</v>
      </c>
      <c r="AI70">
        <v>445.50567999999998</v>
      </c>
      <c r="AJ70" s="329">
        <v>25755.127769999999</v>
      </c>
      <c r="AL70">
        <v>0</v>
      </c>
      <c r="AN70" t="s">
        <v>2118</v>
      </c>
      <c r="AQ70" t="s">
        <v>767</v>
      </c>
      <c r="AR70" t="s">
        <v>767</v>
      </c>
      <c r="AS70" t="s">
        <v>767</v>
      </c>
      <c r="AZ70">
        <v>0</v>
      </c>
      <c r="BA70" t="s">
        <v>1012</v>
      </c>
      <c r="BB70" t="s">
        <v>1011</v>
      </c>
      <c r="BC70" t="s">
        <v>1010</v>
      </c>
      <c r="BD70" t="s">
        <v>2055</v>
      </c>
      <c r="BE70" s="330">
        <v>43138.474340277775</v>
      </c>
      <c r="BH70" t="str">
        <f>VLOOKUP(B:B,výpočty!$Z$246:$Z$515,1,FALSE)</f>
        <v>R93228</v>
      </c>
    </row>
    <row r="71" spans="1:60" x14ac:dyDescent="0.25">
      <c r="A71">
        <v>112002</v>
      </c>
      <c r="B71" t="s">
        <v>594</v>
      </c>
      <c r="C71" t="s">
        <v>996</v>
      </c>
      <c r="F71">
        <v>0</v>
      </c>
      <c r="G71">
        <v>222</v>
      </c>
      <c r="H71">
        <v>0</v>
      </c>
      <c r="I71">
        <v>0</v>
      </c>
      <c r="J71" t="s">
        <v>643</v>
      </c>
      <c r="L71">
        <v>1</v>
      </c>
      <c r="M71">
        <v>1</v>
      </c>
      <c r="N71">
        <v>1</v>
      </c>
      <c r="O71">
        <v>0</v>
      </c>
      <c r="R71">
        <v>0</v>
      </c>
      <c r="U71">
        <v>1</v>
      </c>
      <c r="V71">
        <v>1.7999999999999999E-2</v>
      </c>
      <c r="W71">
        <v>1.8E-3</v>
      </c>
      <c r="X71">
        <v>2.7</v>
      </c>
      <c r="Y71">
        <v>0</v>
      </c>
      <c r="Z71" t="s">
        <v>767</v>
      </c>
      <c r="AA71">
        <v>1</v>
      </c>
      <c r="AB71">
        <v>1</v>
      </c>
      <c r="AC71">
        <v>1</v>
      </c>
      <c r="AD71">
        <v>0</v>
      </c>
      <c r="AE71" s="329">
        <v>2603.3081999999999</v>
      </c>
      <c r="AF71" s="329">
        <v>3150.0029199999999</v>
      </c>
      <c r="AG71">
        <v>98.904679999999999</v>
      </c>
      <c r="AH71">
        <v>118.68562</v>
      </c>
      <c r="AI71">
        <v>506.31954999999999</v>
      </c>
      <c r="AJ71" s="329">
        <v>29270.837879999999</v>
      </c>
      <c r="AL71">
        <v>0</v>
      </c>
      <c r="AN71" t="s">
        <v>2118</v>
      </c>
      <c r="AQ71" t="s">
        <v>767</v>
      </c>
      <c r="AR71" t="s">
        <v>767</v>
      </c>
      <c r="AS71" t="s">
        <v>767</v>
      </c>
      <c r="AZ71">
        <v>0</v>
      </c>
      <c r="BA71" t="s">
        <v>999</v>
      </c>
      <c r="BB71" t="s">
        <v>998</v>
      </c>
      <c r="BC71" t="s">
        <v>997</v>
      </c>
      <c r="BD71" t="s">
        <v>2055</v>
      </c>
      <c r="BE71" s="330">
        <v>43138.470324074071</v>
      </c>
      <c r="BH71" t="str">
        <f>VLOOKUP(B:B,výpočty!$Z$246:$Z$515,1,FALSE)</f>
        <v>R92854</v>
      </c>
    </row>
    <row r="72" spans="1:60" x14ac:dyDescent="0.25">
      <c r="A72">
        <v>112002</v>
      </c>
      <c r="B72" t="s">
        <v>593</v>
      </c>
      <c r="C72" t="s">
        <v>992</v>
      </c>
      <c r="F72">
        <v>0</v>
      </c>
      <c r="G72">
        <v>222</v>
      </c>
      <c r="H72">
        <v>0</v>
      </c>
      <c r="I72">
        <v>0</v>
      </c>
      <c r="J72" t="s">
        <v>643</v>
      </c>
      <c r="L72">
        <v>1</v>
      </c>
      <c r="M72">
        <v>1</v>
      </c>
      <c r="N72">
        <v>1</v>
      </c>
      <c r="O72">
        <v>0</v>
      </c>
      <c r="R72">
        <v>0</v>
      </c>
      <c r="U72">
        <v>1</v>
      </c>
      <c r="V72">
        <v>15.3</v>
      </c>
      <c r="W72">
        <v>0</v>
      </c>
      <c r="X72">
        <v>2.4</v>
      </c>
      <c r="Y72">
        <v>0</v>
      </c>
      <c r="Z72" t="s">
        <v>767</v>
      </c>
      <c r="AA72">
        <v>1</v>
      </c>
      <c r="AB72">
        <v>1</v>
      </c>
      <c r="AC72">
        <v>1</v>
      </c>
      <c r="AD72">
        <v>0</v>
      </c>
      <c r="AE72" s="329">
        <v>2518.1396100000002</v>
      </c>
      <c r="AF72" s="329">
        <v>3046.94893</v>
      </c>
      <c r="AG72">
        <v>95.668970000000002</v>
      </c>
      <c r="AH72">
        <v>114.80276000000001</v>
      </c>
      <c r="AI72">
        <v>489.75504999999998</v>
      </c>
      <c r="AJ72" s="329">
        <v>28313.227220000001</v>
      </c>
      <c r="AL72">
        <v>0</v>
      </c>
      <c r="AN72" t="s">
        <v>2118</v>
      </c>
      <c r="AQ72" t="s">
        <v>767</v>
      </c>
      <c r="AR72" t="s">
        <v>767</v>
      </c>
      <c r="AS72" t="s">
        <v>767</v>
      </c>
      <c r="AZ72">
        <v>0</v>
      </c>
      <c r="BA72" t="s">
        <v>995</v>
      </c>
      <c r="BB72" t="s">
        <v>994</v>
      </c>
      <c r="BC72" t="s">
        <v>993</v>
      </c>
      <c r="BD72" t="s">
        <v>2055</v>
      </c>
      <c r="BE72" s="330">
        <v>43138.474363425928</v>
      </c>
      <c r="BH72" t="str">
        <f>VLOOKUP(B:B,výpočty!$Z$246:$Z$515,1,FALSE)</f>
        <v>R92853</v>
      </c>
    </row>
    <row r="73" spans="1:60" x14ac:dyDescent="0.25">
      <c r="A73">
        <v>112002</v>
      </c>
      <c r="B73" t="s">
        <v>590</v>
      </c>
      <c r="C73" t="s">
        <v>1067</v>
      </c>
      <c r="F73">
        <v>0</v>
      </c>
      <c r="G73">
        <v>222</v>
      </c>
      <c r="H73">
        <v>0</v>
      </c>
      <c r="I73">
        <v>0</v>
      </c>
      <c r="J73" t="s">
        <v>657</v>
      </c>
      <c r="L73">
        <v>1</v>
      </c>
      <c r="M73">
        <v>1</v>
      </c>
      <c r="N73">
        <v>1</v>
      </c>
      <c r="O73">
        <v>0</v>
      </c>
      <c r="R73">
        <v>0</v>
      </c>
      <c r="U73">
        <v>1</v>
      </c>
      <c r="V73">
        <v>2.0939999999999999</v>
      </c>
      <c r="W73">
        <v>0</v>
      </c>
      <c r="X73">
        <v>1.4999999999999999E-2</v>
      </c>
      <c r="Y73">
        <v>0</v>
      </c>
      <c r="Z73" t="s">
        <v>767</v>
      </c>
      <c r="AA73">
        <v>20</v>
      </c>
      <c r="AB73">
        <v>1</v>
      </c>
      <c r="AC73">
        <v>1</v>
      </c>
      <c r="AD73">
        <v>0</v>
      </c>
      <c r="AE73">
        <v>142.68778</v>
      </c>
      <c r="AF73">
        <v>172.65221</v>
      </c>
      <c r="AG73">
        <v>5.4209800000000001</v>
      </c>
      <c r="AH73">
        <v>6.5051800000000002</v>
      </c>
      <c r="AI73">
        <v>27.751460000000002</v>
      </c>
      <c r="AJ73" s="329">
        <v>1604.3398199999999</v>
      </c>
      <c r="AL73">
        <v>0</v>
      </c>
      <c r="AQ73" t="s">
        <v>767</v>
      </c>
      <c r="AR73" t="s">
        <v>767</v>
      </c>
      <c r="AS73" t="s">
        <v>767</v>
      </c>
      <c r="AZ73">
        <v>0</v>
      </c>
      <c r="BA73" t="s">
        <v>1069</v>
      </c>
      <c r="BB73" t="s">
        <v>1471</v>
      </c>
      <c r="BC73" t="s">
        <v>1068</v>
      </c>
      <c r="BD73" t="s">
        <v>2055</v>
      </c>
      <c r="BE73" s="330">
        <v>43138.469155092593</v>
      </c>
      <c r="BH73" t="str">
        <f>VLOOKUP(B:B,výpočty!$Z$246:$Z$515,1,FALSE)</f>
        <v>R95831</v>
      </c>
    </row>
    <row r="74" spans="1:60" x14ac:dyDescent="0.25">
      <c r="A74">
        <v>112002</v>
      </c>
      <c r="B74" t="s">
        <v>587</v>
      </c>
      <c r="C74" t="s">
        <v>1104</v>
      </c>
      <c r="F74">
        <v>0</v>
      </c>
      <c r="G74">
        <v>222</v>
      </c>
      <c r="H74">
        <v>0</v>
      </c>
      <c r="I74">
        <v>0</v>
      </c>
      <c r="J74" t="s">
        <v>657</v>
      </c>
      <c r="L74">
        <v>1</v>
      </c>
      <c r="M74">
        <v>1</v>
      </c>
      <c r="N74">
        <v>1</v>
      </c>
      <c r="O74">
        <v>0</v>
      </c>
      <c r="R74">
        <v>0</v>
      </c>
      <c r="U74">
        <v>1</v>
      </c>
      <c r="V74">
        <v>2.0939999999999999</v>
      </c>
      <c r="W74">
        <v>0</v>
      </c>
      <c r="X74">
        <v>0.25600000000000001</v>
      </c>
      <c r="Y74">
        <v>0</v>
      </c>
      <c r="Z74" t="s">
        <v>767</v>
      </c>
      <c r="AA74">
        <v>20</v>
      </c>
      <c r="AB74">
        <v>1</v>
      </c>
      <c r="AC74">
        <v>1</v>
      </c>
      <c r="AD74">
        <v>1</v>
      </c>
      <c r="AE74">
        <v>146.66317000000001</v>
      </c>
      <c r="AF74">
        <v>177.46243999999999</v>
      </c>
      <c r="AG74">
        <v>5.5720200000000002</v>
      </c>
      <c r="AH74">
        <v>6.68642</v>
      </c>
      <c r="AI74">
        <v>28.524650000000001</v>
      </c>
      <c r="AJ74" s="329">
        <v>1649.0378599999999</v>
      </c>
      <c r="AL74">
        <v>0</v>
      </c>
      <c r="AQ74" t="s">
        <v>767</v>
      </c>
      <c r="AR74" t="s">
        <v>767</v>
      </c>
      <c r="AS74" t="s">
        <v>767</v>
      </c>
      <c r="AZ74">
        <v>0</v>
      </c>
      <c r="BA74" t="s">
        <v>1106</v>
      </c>
      <c r="BB74" t="s">
        <v>1488</v>
      </c>
      <c r="BC74" t="s">
        <v>1105</v>
      </c>
      <c r="BD74" t="s">
        <v>2055</v>
      </c>
      <c r="BE74" s="330">
        <v>43138.469108796293</v>
      </c>
      <c r="BH74" t="str">
        <f>VLOOKUP(B:B,výpočty!$Z$246:$Z$515,1,FALSE)</f>
        <v>R95948</v>
      </c>
    </row>
    <row r="75" spans="1:60" x14ac:dyDescent="0.25">
      <c r="A75">
        <v>112002</v>
      </c>
      <c r="B75" t="s">
        <v>586</v>
      </c>
      <c r="C75" t="s">
        <v>1100</v>
      </c>
      <c r="F75">
        <v>0</v>
      </c>
      <c r="G75">
        <v>222</v>
      </c>
      <c r="H75">
        <v>0</v>
      </c>
      <c r="I75">
        <v>0</v>
      </c>
      <c r="J75" t="s">
        <v>657</v>
      </c>
      <c r="L75">
        <v>1</v>
      </c>
      <c r="M75">
        <v>1</v>
      </c>
      <c r="N75">
        <v>1</v>
      </c>
      <c r="O75">
        <v>0</v>
      </c>
      <c r="R75">
        <v>0</v>
      </c>
      <c r="U75">
        <v>1</v>
      </c>
      <c r="V75">
        <v>2.0939999999999999</v>
      </c>
      <c r="W75">
        <v>0</v>
      </c>
      <c r="X75">
        <v>0.25600000000000001</v>
      </c>
      <c r="Y75">
        <v>0</v>
      </c>
      <c r="Z75" t="s">
        <v>767</v>
      </c>
      <c r="AA75">
        <v>20</v>
      </c>
      <c r="AB75">
        <v>1</v>
      </c>
      <c r="AC75">
        <v>1</v>
      </c>
      <c r="AD75">
        <v>0</v>
      </c>
      <c r="AE75">
        <v>146.66317000000001</v>
      </c>
      <c r="AF75">
        <v>177.46243999999999</v>
      </c>
      <c r="AG75">
        <v>5.5720200000000002</v>
      </c>
      <c r="AH75">
        <v>6.68642</v>
      </c>
      <c r="AI75">
        <v>28.524650000000001</v>
      </c>
      <c r="AJ75" s="329">
        <v>1649.0378599999999</v>
      </c>
      <c r="AL75">
        <v>0</v>
      </c>
      <c r="AQ75" t="s">
        <v>767</v>
      </c>
      <c r="AR75" t="s">
        <v>767</v>
      </c>
      <c r="AS75" t="s">
        <v>767</v>
      </c>
      <c r="AZ75">
        <v>0</v>
      </c>
      <c r="BA75" t="s">
        <v>1102</v>
      </c>
      <c r="BB75" t="s">
        <v>1484</v>
      </c>
      <c r="BC75" t="s">
        <v>1101</v>
      </c>
      <c r="BD75" t="s">
        <v>2055</v>
      </c>
      <c r="BE75" s="330">
        <v>43138.470219907409</v>
      </c>
      <c r="BH75" t="str">
        <f>VLOOKUP(B:B,výpočty!$Z$246:$Z$515,1,FALSE)</f>
        <v>R95849</v>
      </c>
    </row>
    <row r="76" spans="1:60" x14ac:dyDescent="0.25">
      <c r="A76">
        <v>112002</v>
      </c>
      <c r="B76" t="s">
        <v>588</v>
      </c>
      <c r="C76" t="s">
        <v>1097</v>
      </c>
      <c r="F76">
        <v>0</v>
      </c>
      <c r="G76">
        <v>222</v>
      </c>
      <c r="H76">
        <v>0</v>
      </c>
      <c r="I76">
        <v>0</v>
      </c>
      <c r="J76" t="s">
        <v>657</v>
      </c>
      <c r="L76">
        <v>1</v>
      </c>
      <c r="M76">
        <v>1</v>
      </c>
      <c r="N76">
        <v>1</v>
      </c>
      <c r="O76">
        <v>0</v>
      </c>
      <c r="R76">
        <v>0</v>
      </c>
      <c r="U76">
        <v>1</v>
      </c>
      <c r="V76">
        <v>1.0469999999999999</v>
      </c>
      <c r="W76">
        <v>0</v>
      </c>
      <c r="X76">
        <v>0.14299999999999999</v>
      </c>
      <c r="Y76">
        <v>0</v>
      </c>
      <c r="Z76" t="s">
        <v>767</v>
      </c>
      <c r="AA76">
        <v>40</v>
      </c>
      <c r="AB76">
        <v>1</v>
      </c>
      <c r="AC76">
        <v>1</v>
      </c>
      <c r="AD76">
        <v>0</v>
      </c>
      <c r="AE76">
        <v>109.69971</v>
      </c>
      <c r="AF76">
        <v>132.73665</v>
      </c>
      <c r="AG76">
        <v>4.1677</v>
      </c>
      <c r="AH76">
        <v>5.0012400000000001</v>
      </c>
      <c r="AI76">
        <v>21.33558</v>
      </c>
      <c r="AJ76" s="329">
        <v>1233.4315899999999</v>
      </c>
      <c r="AL76">
        <v>0</v>
      </c>
      <c r="AQ76" t="s">
        <v>767</v>
      </c>
      <c r="AR76" t="s">
        <v>767</v>
      </c>
      <c r="AS76" t="s">
        <v>767</v>
      </c>
      <c r="AZ76">
        <v>0</v>
      </c>
      <c r="BA76" t="s">
        <v>1099</v>
      </c>
      <c r="BB76" t="s">
        <v>1483</v>
      </c>
      <c r="BC76" t="s">
        <v>1098</v>
      </c>
      <c r="BD76" t="s">
        <v>2055</v>
      </c>
      <c r="BE76" s="330">
        <v>43138.478310185186</v>
      </c>
      <c r="BH76" t="str">
        <f>VLOOKUP(B:B,výpočty!$Z$246:$Z$515,1,FALSE)</f>
        <v>R95848</v>
      </c>
    </row>
    <row r="77" spans="1:60" x14ac:dyDescent="0.25">
      <c r="A77">
        <v>112002</v>
      </c>
      <c r="B77" t="s">
        <v>540</v>
      </c>
      <c r="C77" t="s">
        <v>878</v>
      </c>
      <c r="F77">
        <v>0</v>
      </c>
      <c r="G77">
        <v>222</v>
      </c>
      <c r="H77">
        <v>0</v>
      </c>
      <c r="I77">
        <v>0</v>
      </c>
      <c r="J77" t="s">
        <v>643</v>
      </c>
      <c r="L77">
        <v>1</v>
      </c>
      <c r="M77">
        <v>1</v>
      </c>
      <c r="N77">
        <v>1</v>
      </c>
      <c r="O77">
        <v>0</v>
      </c>
      <c r="R77">
        <v>0</v>
      </c>
      <c r="U77">
        <v>1</v>
      </c>
      <c r="V77">
        <v>0.109</v>
      </c>
      <c r="W77">
        <v>0</v>
      </c>
      <c r="X77">
        <v>6.0000000000000001E-3</v>
      </c>
      <c r="Y77">
        <v>0</v>
      </c>
      <c r="Z77" t="s">
        <v>767</v>
      </c>
      <c r="AA77">
        <v>40</v>
      </c>
      <c r="AB77">
        <v>1</v>
      </c>
      <c r="AC77">
        <v>1</v>
      </c>
      <c r="AD77">
        <v>0</v>
      </c>
      <c r="AE77">
        <v>18.753430000000002</v>
      </c>
      <c r="AF77">
        <v>22.691649999999999</v>
      </c>
      <c r="AG77">
        <v>0.71248</v>
      </c>
      <c r="AH77">
        <v>0.85497999999999996</v>
      </c>
      <c r="AI77">
        <v>3.6473800000000001</v>
      </c>
      <c r="AJ77">
        <v>210.85816</v>
      </c>
      <c r="AL77">
        <v>0</v>
      </c>
      <c r="AQ77" t="s">
        <v>767</v>
      </c>
      <c r="AR77" t="s">
        <v>767</v>
      </c>
      <c r="AS77" t="s">
        <v>767</v>
      </c>
      <c r="AZ77">
        <v>0</v>
      </c>
      <c r="BA77" t="s">
        <v>880</v>
      </c>
      <c r="BB77" t="s">
        <v>1409</v>
      </c>
      <c r="BC77" t="s">
        <v>879</v>
      </c>
      <c r="BD77" t="s">
        <v>2055</v>
      </c>
      <c r="BE77" s="330">
        <v>43138.478298611109</v>
      </c>
      <c r="BH77" t="str">
        <f>VLOOKUP(B:B,výpočty!$Z$246:$Z$515,1,FALSE)</f>
        <v>R88229</v>
      </c>
    </row>
    <row r="78" spans="1:60" x14ac:dyDescent="0.25">
      <c r="A78">
        <v>112002</v>
      </c>
      <c r="B78" t="s">
        <v>606</v>
      </c>
      <c r="C78" t="s">
        <v>1031</v>
      </c>
      <c r="F78">
        <v>0</v>
      </c>
      <c r="G78">
        <v>222</v>
      </c>
      <c r="H78">
        <v>0</v>
      </c>
      <c r="I78">
        <v>0</v>
      </c>
      <c r="J78" t="s">
        <v>643</v>
      </c>
      <c r="L78">
        <v>1</v>
      </c>
      <c r="M78">
        <v>1</v>
      </c>
      <c r="N78">
        <v>1</v>
      </c>
      <c r="O78">
        <v>0</v>
      </c>
      <c r="R78">
        <v>0</v>
      </c>
      <c r="U78">
        <v>1</v>
      </c>
      <c r="V78">
        <v>0.109</v>
      </c>
      <c r="W78">
        <v>0</v>
      </c>
      <c r="X78">
        <v>1.0999999999999999E-2</v>
      </c>
      <c r="Y78">
        <v>0</v>
      </c>
      <c r="Z78" t="s">
        <v>767</v>
      </c>
      <c r="AA78">
        <v>40</v>
      </c>
      <c r="AB78">
        <v>1</v>
      </c>
      <c r="AC78">
        <v>1</v>
      </c>
      <c r="AD78">
        <v>0</v>
      </c>
      <c r="AE78">
        <v>23.868099999999998</v>
      </c>
      <c r="AF78">
        <v>28.880400000000002</v>
      </c>
      <c r="AG78">
        <v>0.90680000000000005</v>
      </c>
      <c r="AH78">
        <v>1.08816</v>
      </c>
      <c r="AI78">
        <v>4.6421299999999999</v>
      </c>
      <c r="AJ78">
        <v>268.36599999999999</v>
      </c>
      <c r="AL78">
        <v>0</v>
      </c>
      <c r="AQ78" t="s">
        <v>767</v>
      </c>
      <c r="AR78" t="s">
        <v>767</v>
      </c>
      <c r="AS78" t="s">
        <v>767</v>
      </c>
      <c r="AZ78">
        <v>0</v>
      </c>
      <c r="BA78" t="s">
        <v>1033</v>
      </c>
      <c r="BB78" t="s">
        <v>1456</v>
      </c>
      <c r="BC78" t="s">
        <v>1032</v>
      </c>
      <c r="BD78" t="s">
        <v>2055</v>
      </c>
      <c r="BE78" s="330">
        <v>43138.470277777778</v>
      </c>
      <c r="BH78" t="str">
        <f>VLOOKUP(B:B,výpočty!$Z$246:$Z$515,1,FALSE)</f>
        <v>R95799</v>
      </c>
    </row>
    <row r="79" spans="1:60" x14ac:dyDescent="0.25">
      <c r="A79">
        <v>112002</v>
      </c>
      <c r="B79" t="s">
        <v>547</v>
      </c>
      <c r="C79" t="s">
        <v>808</v>
      </c>
      <c r="F79">
        <v>0</v>
      </c>
      <c r="G79">
        <v>222</v>
      </c>
      <c r="H79">
        <v>0</v>
      </c>
      <c r="I79">
        <v>0</v>
      </c>
      <c r="J79" t="s">
        <v>643</v>
      </c>
      <c r="L79">
        <v>1</v>
      </c>
      <c r="M79">
        <v>1</v>
      </c>
      <c r="N79">
        <v>1</v>
      </c>
      <c r="O79">
        <v>0</v>
      </c>
      <c r="R79">
        <v>0</v>
      </c>
      <c r="U79">
        <v>1</v>
      </c>
      <c r="V79">
        <v>0.109</v>
      </c>
      <c r="W79">
        <v>0</v>
      </c>
      <c r="X79">
        <v>6.0000000000000001E-3</v>
      </c>
      <c r="Y79">
        <v>0</v>
      </c>
      <c r="Z79" t="s">
        <v>767</v>
      </c>
      <c r="AA79">
        <v>40</v>
      </c>
      <c r="AB79">
        <v>1</v>
      </c>
      <c r="AC79">
        <v>1</v>
      </c>
      <c r="AD79">
        <v>0</v>
      </c>
      <c r="AE79">
        <v>18.753430000000002</v>
      </c>
      <c r="AF79">
        <v>22.691649999999999</v>
      </c>
      <c r="AG79">
        <v>0.71248</v>
      </c>
      <c r="AH79">
        <v>0.85497999999999996</v>
      </c>
      <c r="AI79">
        <v>3.6473800000000001</v>
      </c>
      <c r="AJ79">
        <v>210.85816</v>
      </c>
      <c r="AL79">
        <v>0</v>
      </c>
      <c r="AQ79" t="s">
        <v>767</v>
      </c>
      <c r="AR79" t="s">
        <v>767</v>
      </c>
      <c r="AS79" t="s">
        <v>767</v>
      </c>
      <c r="AZ79">
        <v>0</v>
      </c>
      <c r="BA79" t="s">
        <v>810</v>
      </c>
      <c r="BB79" t="s">
        <v>1383</v>
      </c>
      <c r="BC79" t="s">
        <v>809</v>
      </c>
      <c r="BD79" t="s">
        <v>2055</v>
      </c>
      <c r="BE79" s="330">
        <v>43138.470219907409</v>
      </c>
      <c r="BH79" t="str">
        <f>VLOOKUP(B:B,výpočty!$Z$246:$Z$515,1,FALSE)</f>
        <v>R77013</v>
      </c>
    </row>
    <row r="80" spans="1:60" x14ac:dyDescent="0.25">
      <c r="A80">
        <v>112002</v>
      </c>
      <c r="B80" t="s">
        <v>608</v>
      </c>
      <c r="C80" t="s">
        <v>955</v>
      </c>
      <c r="F80">
        <v>0</v>
      </c>
      <c r="G80">
        <v>222</v>
      </c>
      <c r="H80">
        <v>0</v>
      </c>
      <c r="I80">
        <v>0</v>
      </c>
      <c r="J80" t="s">
        <v>643</v>
      </c>
      <c r="L80">
        <v>1</v>
      </c>
      <c r="M80">
        <v>1</v>
      </c>
      <c r="N80">
        <v>1</v>
      </c>
      <c r="O80">
        <v>0</v>
      </c>
      <c r="R80">
        <v>0</v>
      </c>
      <c r="U80">
        <v>1</v>
      </c>
      <c r="V80">
        <v>0.109</v>
      </c>
      <c r="W80">
        <v>0</v>
      </c>
      <c r="X80">
        <v>6.0000000000000001E-3</v>
      </c>
      <c r="Y80">
        <v>0</v>
      </c>
      <c r="Z80" t="s">
        <v>767</v>
      </c>
      <c r="AA80">
        <v>40</v>
      </c>
      <c r="AB80">
        <v>1</v>
      </c>
      <c r="AC80">
        <v>1</v>
      </c>
      <c r="AD80">
        <v>0</v>
      </c>
      <c r="AE80">
        <v>18.753430000000002</v>
      </c>
      <c r="AF80">
        <v>22.691649999999999</v>
      </c>
      <c r="AG80">
        <v>0.71248</v>
      </c>
      <c r="AH80">
        <v>0.85497999999999996</v>
      </c>
      <c r="AI80">
        <v>3.6473800000000001</v>
      </c>
      <c r="AJ80" s="329">
        <v>210.85816</v>
      </c>
      <c r="AL80">
        <v>0</v>
      </c>
      <c r="AQ80" t="s">
        <v>767</v>
      </c>
      <c r="AR80" t="s">
        <v>767</v>
      </c>
      <c r="AS80" t="s">
        <v>767</v>
      </c>
      <c r="AZ80">
        <v>0</v>
      </c>
      <c r="BA80" t="s">
        <v>957</v>
      </c>
      <c r="BB80" t="s">
        <v>1436</v>
      </c>
      <c r="BC80" t="s">
        <v>956</v>
      </c>
      <c r="BD80" t="s">
        <v>2055</v>
      </c>
      <c r="BE80" s="330">
        <v>43138.470219907409</v>
      </c>
      <c r="BH80" t="str">
        <f>VLOOKUP(B:B,výpočty!$Z$246:$Z$515,1,FALSE)</f>
        <v>R92828</v>
      </c>
    </row>
    <row r="81" spans="1:60" x14ac:dyDescent="0.25">
      <c r="A81">
        <v>112002</v>
      </c>
      <c r="B81" t="s">
        <v>538</v>
      </c>
      <c r="C81" t="s">
        <v>894</v>
      </c>
      <c r="F81">
        <v>0</v>
      </c>
      <c r="G81">
        <v>222</v>
      </c>
      <c r="H81">
        <v>0</v>
      </c>
      <c r="I81">
        <v>0</v>
      </c>
      <c r="J81" t="s">
        <v>643</v>
      </c>
      <c r="L81">
        <v>1</v>
      </c>
      <c r="M81">
        <v>1</v>
      </c>
      <c r="N81">
        <v>1</v>
      </c>
      <c r="O81">
        <v>0</v>
      </c>
      <c r="R81">
        <v>0</v>
      </c>
      <c r="U81">
        <v>1</v>
      </c>
      <c r="V81">
        <v>0.109</v>
      </c>
      <c r="W81">
        <v>0</v>
      </c>
      <c r="X81">
        <v>6.0000000000000001E-3</v>
      </c>
      <c r="Y81">
        <v>0</v>
      </c>
      <c r="Z81" t="s">
        <v>767</v>
      </c>
      <c r="AA81">
        <v>40</v>
      </c>
      <c r="AB81">
        <v>1</v>
      </c>
      <c r="AC81">
        <v>1</v>
      </c>
      <c r="AD81">
        <v>0</v>
      </c>
      <c r="AE81">
        <v>18.753430000000002</v>
      </c>
      <c r="AF81">
        <v>22.691649999999999</v>
      </c>
      <c r="AG81">
        <v>0.71248</v>
      </c>
      <c r="AH81">
        <v>0.85497999999999996</v>
      </c>
      <c r="AI81">
        <v>3.6473800000000001</v>
      </c>
      <c r="AJ81" s="329">
        <v>210.85816</v>
      </c>
      <c r="AL81">
        <v>0</v>
      </c>
      <c r="AQ81" t="s">
        <v>767</v>
      </c>
      <c r="AR81" t="s">
        <v>767</v>
      </c>
      <c r="AS81" t="s">
        <v>767</v>
      </c>
      <c r="AZ81">
        <v>0</v>
      </c>
      <c r="BA81" t="s">
        <v>1702</v>
      </c>
      <c r="BB81" t="s">
        <v>1415</v>
      </c>
      <c r="BC81" t="s">
        <v>895</v>
      </c>
      <c r="BD81" t="s">
        <v>2055</v>
      </c>
      <c r="BE81" s="330">
        <v>43138.469097222223</v>
      </c>
      <c r="BH81" t="str">
        <f>VLOOKUP(B:B,výpočty!$Z$246:$Z$515,1,FALSE)</f>
        <v>R88305</v>
      </c>
    </row>
    <row r="82" spans="1:60" x14ac:dyDescent="0.25">
      <c r="A82">
        <v>112002</v>
      </c>
      <c r="B82" t="s">
        <v>585</v>
      </c>
      <c r="C82" t="s">
        <v>1064</v>
      </c>
      <c r="F82">
        <v>0</v>
      </c>
      <c r="G82">
        <v>222</v>
      </c>
      <c r="H82">
        <v>0</v>
      </c>
      <c r="I82">
        <v>0</v>
      </c>
      <c r="J82" t="s">
        <v>1727</v>
      </c>
      <c r="L82">
        <v>1</v>
      </c>
      <c r="M82">
        <v>1</v>
      </c>
      <c r="N82">
        <v>1</v>
      </c>
      <c r="O82">
        <v>0</v>
      </c>
      <c r="R82">
        <v>0</v>
      </c>
      <c r="U82">
        <v>1</v>
      </c>
      <c r="V82">
        <v>1.625</v>
      </c>
      <c r="W82">
        <v>0</v>
      </c>
      <c r="X82">
        <v>0.221</v>
      </c>
      <c r="Y82">
        <v>0</v>
      </c>
      <c r="Z82" t="s">
        <v>767</v>
      </c>
      <c r="AA82">
        <v>20</v>
      </c>
      <c r="AB82">
        <v>0.5</v>
      </c>
      <c r="AC82">
        <v>1</v>
      </c>
      <c r="AD82">
        <v>1</v>
      </c>
      <c r="AE82">
        <v>235.31620000000001</v>
      </c>
      <c r="AF82">
        <v>284.73259999999999</v>
      </c>
      <c r="AG82">
        <v>8.9401100000000007</v>
      </c>
      <c r="AH82">
        <v>10.72813</v>
      </c>
      <c r="AI82">
        <v>45.766840000000002</v>
      </c>
      <c r="AJ82" s="329">
        <v>2645.8267700000001</v>
      </c>
      <c r="AL82">
        <v>0</v>
      </c>
      <c r="AQ82" t="s">
        <v>767</v>
      </c>
      <c r="AR82" t="s">
        <v>767</v>
      </c>
      <c r="AS82" t="s">
        <v>767</v>
      </c>
      <c r="AZ82">
        <v>0</v>
      </c>
      <c r="BA82" t="s">
        <v>1066</v>
      </c>
      <c r="BB82" t="s">
        <v>1470</v>
      </c>
      <c r="BC82" t="s">
        <v>1065</v>
      </c>
      <c r="BD82" t="s">
        <v>2055</v>
      </c>
      <c r="BE82" s="330">
        <v>43138.471412037034</v>
      </c>
      <c r="BH82" t="str">
        <f>VLOOKUP(B:B,výpočty!$Z$246:$Z$515,1,FALSE)</f>
        <v>R95830</v>
      </c>
    </row>
    <row r="83" spans="1:60" x14ac:dyDescent="0.25">
      <c r="A83">
        <v>112002</v>
      </c>
      <c r="B83" t="s">
        <v>571</v>
      </c>
      <c r="C83" t="s">
        <v>1739</v>
      </c>
      <c r="F83">
        <v>0</v>
      </c>
      <c r="G83">
        <v>222</v>
      </c>
      <c r="H83">
        <v>0</v>
      </c>
      <c r="I83">
        <v>0</v>
      </c>
      <c r="J83" t="s">
        <v>1727</v>
      </c>
      <c r="L83">
        <v>1</v>
      </c>
      <c r="M83">
        <v>1</v>
      </c>
      <c r="N83">
        <v>1</v>
      </c>
      <c r="O83">
        <v>0</v>
      </c>
      <c r="R83">
        <v>0</v>
      </c>
      <c r="U83">
        <v>1</v>
      </c>
      <c r="V83">
        <v>0.65</v>
      </c>
      <c r="W83">
        <v>0</v>
      </c>
      <c r="X83">
        <v>0.112</v>
      </c>
      <c r="Y83">
        <v>0</v>
      </c>
      <c r="Z83" t="s">
        <v>767</v>
      </c>
      <c r="AA83">
        <v>50</v>
      </c>
      <c r="AB83">
        <v>2.5</v>
      </c>
      <c r="AC83">
        <v>1</v>
      </c>
      <c r="AD83">
        <v>0</v>
      </c>
      <c r="AE83">
        <v>73.511489999999995</v>
      </c>
      <c r="AF83">
        <v>88.948899999999995</v>
      </c>
      <c r="AG83">
        <v>2.7928500000000001</v>
      </c>
      <c r="AH83">
        <v>3.3514200000000001</v>
      </c>
      <c r="AI83">
        <v>14.297319999999999</v>
      </c>
      <c r="AJ83">
        <v>826.54183999999998</v>
      </c>
      <c r="AL83">
        <v>0</v>
      </c>
      <c r="AQ83" t="s">
        <v>767</v>
      </c>
      <c r="AR83" t="s">
        <v>767</v>
      </c>
      <c r="AS83" t="s">
        <v>767</v>
      </c>
      <c r="AZ83">
        <v>0</v>
      </c>
      <c r="BA83" t="s">
        <v>1740</v>
      </c>
      <c r="BB83" t="s">
        <v>1741</v>
      </c>
      <c r="BC83" t="s">
        <v>814</v>
      </c>
      <c r="BD83" t="s">
        <v>2055</v>
      </c>
      <c r="BE83" s="330">
        <v>43138.478368055556</v>
      </c>
      <c r="BH83" t="str">
        <f>VLOOKUP(B:B,výpočty!$Z$246:$Z$515,1,FALSE)</f>
        <v>R77089</v>
      </c>
    </row>
    <row r="84" spans="1:60" x14ac:dyDescent="0.25">
      <c r="A84">
        <v>112002</v>
      </c>
      <c r="B84" t="s">
        <v>584</v>
      </c>
      <c r="C84" t="s">
        <v>936</v>
      </c>
      <c r="F84">
        <v>0</v>
      </c>
      <c r="G84">
        <v>222</v>
      </c>
      <c r="H84">
        <v>0</v>
      </c>
      <c r="I84">
        <v>0</v>
      </c>
      <c r="J84" t="s">
        <v>1727</v>
      </c>
      <c r="L84">
        <v>1</v>
      </c>
      <c r="M84">
        <v>1</v>
      </c>
      <c r="N84">
        <v>1</v>
      </c>
      <c r="O84">
        <v>0</v>
      </c>
      <c r="R84">
        <v>0</v>
      </c>
      <c r="U84">
        <v>1</v>
      </c>
      <c r="V84">
        <v>0.65</v>
      </c>
      <c r="W84">
        <v>0</v>
      </c>
      <c r="X84">
        <v>0.112</v>
      </c>
      <c r="Y84">
        <v>0</v>
      </c>
      <c r="Z84" t="s">
        <v>767</v>
      </c>
      <c r="AA84">
        <v>50</v>
      </c>
      <c r="AB84">
        <v>2.5</v>
      </c>
      <c r="AC84">
        <v>1</v>
      </c>
      <c r="AD84">
        <v>0</v>
      </c>
      <c r="AE84">
        <v>73.511489999999995</v>
      </c>
      <c r="AF84">
        <v>88.948899999999995</v>
      </c>
      <c r="AG84">
        <v>2.7928500000000001</v>
      </c>
      <c r="AH84">
        <v>3.3514200000000001</v>
      </c>
      <c r="AI84">
        <v>14.297319999999999</v>
      </c>
      <c r="AJ84">
        <v>826.54183999999998</v>
      </c>
      <c r="AL84">
        <v>0</v>
      </c>
      <c r="AQ84" t="s">
        <v>767</v>
      </c>
      <c r="AR84" t="s">
        <v>767</v>
      </c>
      <c r="AS84" t="s">
        <v>767</v>
      </c>
      <c r="AZ84">
        <v>0</v>
      </c>
      <c r="BA84" t="s">
        <v>938</v>
      </c>
      <c r="BB84" t="s">
        <v>1429</v>
      </c>
      <c r="BC84" t="s">
        <v>937</v>
      </c>
      <c r="BD84" t="s">
        <v>2055</v>
      </c>
      <c r="BE84" s="330">
        <v>43138.478368055556</v>
      </c>
      <c r="BH84" t="str">
        <f>VLOOKUP(B:B,výpočty!$Z$246:$Z$515,1,FALSE)</f>
        <v>R92821</v>
      </c>
    </row>
    <row r="85" spans="1:60" x14ac:dyDescent="0.25">
      <c r="A85">
        <v>112002</v>
      </c>
      <c r="B85" t="s">
        <v>578</v>
      </c>
      <c r="C85" t="s">
        <v>885</v>
      </c>
      <c r="F85">
        <v>0</v>
      </c>
      <c r="G85">
        <v>222</v>
      </c>
      <c r="H85">
        <v>0</v>
      </c>
      <c r="I85">
        <v>0</v>
      </c>
      <c r="J85" t="s">
        <v>1727</v>
      </c>
      <c r="L85">
        <v>1</v>
      </c>
      <c r="M85">
        <v>1</v>
      </c>
      <c r="N85">
        <v>1</v>
      </c>
      <c r="O85">
        <v>0</v>
      </c>
      <c r="R85">
        <v>0</v>
      </c>
      <c r="U85">
        <v>1</v>
      </c>
      <c r="V85">
        <v>0.65</v>
      </c>
      <c r="W85">
        <v>0</v>
      </c>
      <c r="X85">
        <v>0.112</v>
      </c>
      <c r="Y85">
        <v>0</v>
      </c>
      <c r="Z85" t="s">
        <v>767</v>
      </c>
      <c r="AA85">
        <v>50</v>
      </c>
      <c r="AB85">
        <v>2.5</v>
      </c>
      <c r="AC85">
        <v>1</v>
      </c>
      <c r="AD85">
        <v>0</v>
      </c>
      <c r="AE85">
        <v>73.511489999999995</v>
      </c>
      <c r="AF85">
        <v>88.948899999999995</v>
      </c>
      <c r="AG85">
        <v>2.7928500000000001</v>
      </c>
      <c r="AH85">
        <v>3.3514200000000001</v>
      </c>
      <c r="AI85">
        <v>14.297319999999999</v>
      </c>
      <c r="AJ85">
        <v>826.54183999999998</v>
      </c>
      <c r="AL85">
        <v>0</v>
      </c>
      <c r="AQ85" t="s">
        <v>767</v>
      </c>
      <c r="AR85" t="s">
        <v>767</v>
      </c>
      <c r="AS85" t="s">
        <v>767</v>
      </c>
      <c r="AZ85">
        <v>0</v>
      </c>
      <c r="BA85" t="s">
        <v>887</v>
      </c>
      <c r="BB85" t="s">
        <v>1412</v>
      </c>
      <c r="BC85" t="s">
        <v>886</v>
      </c>
      <c r="BD85" t="s">
        <v>2055</v>
      </c>
      <c r="BE85" s="330">
        <v>43138.478379629632</v>
      </c>
      <c r="BH85" t="str">
        <f>VLOOKUP(B:B,výpočty!$Z$246:$Z$515,1,FALSE)</f>
        <v>R88301</v>
      </c>
    </row>
    <row r="86" spans="1:60" x14ac:dyDescent="0.25">
      <c r="A86">
        <v>112002</v>
      </c>
      <c r="B86" t="s">
        <v>582</v>
      </c>
      <c r="C86" t="s">
        <v>864</v>
      </c>
      <c r="F86">
        <v>0</v>
      </c>
      <c r="G86">
        <v>222</v>
      </c>
      <c r="H86">
        <v>0</v>
      </c>
      <c r="I86">
        <v>0</v>
      </c>
      <c r="J86" t="s">
        <v>1727</v>
      </c>
      <c r="L86">
        <v>1</v>
      </c>
      <c r="M86">
        <v>1</v>
      </c>
      <c r="N86">
        <v>1</v>
      </c>
      <c r="O86">
        <v>0</v>
      </c>
      <c r="R86">
        <v>0</v>
      </c>
      <c r="U86">
        <v>1</v>
      </c>
      <c r="V86">
        <v>0.65</v>
      </c>
      <c r="W86">
        <v>0</v>
      </c>
      <c r="X86">
        <v>0.112</v>
      </c>
      <c r="Y86">
        <v>0</v>
      </c>
      <c r="Z86" t="s">
        <v>767</v>
      </c>
      <c r="AA86" s="331">
        <v>50</v>
      </c>
      <c r="AB86">
        <v>2.5</v>
      </c>
      <c r="AC86">
        <v>1</v>
      </c>
      <c r="AD86">
        <v>0</v>
      </c>
      <c r="AE86">
        <v>73.511489999999995</v>
      </c>
      <c r="AF86">
        <v>88.948899999999995</v>
      </c>
      <c r="AG86">
        <v>2.7928500000000001</v>
      </c>
      <c r="AH86">
        <v>3.3514200000000001</v>
      </c>
      <c r="AI86">
        <v>14.297319999999999</v>
      </c>
      <c r="AJ86">
        <v>826.54183999999998</v>
      </c>
      <c r="AL86">
        <v>0</v>
      </c>
      <c r="AQ86" t="s">
        <v>767</v>
      </c>
      <c r="AR86" t="s">
        <v>767</v>
      </c>
      <c r="AS86" t="s">
        <v>767</v>
      </c>
      <c r="AZ86">
        <v>0</v>
      </c>
      <c r="BA86" t="s">
        <v>865</v>
      </c>
      <c r="BB86" t="s">
        <v>1403</v>
      </c>
      <c r="BC86" t="s">
        <v>1555</v>
      </c>
      <c r="BD86" t="s">
        <v>2055</v>
      </c>
      <c r="BE86" s="330">
        <v>43138.470289351855</v>
      </c>
      <c r="BH86" t="str">
        <f>VLOOKUP(B:B,výpočty!$Z$246:$Z$515,1,FALSE)</f>
        <v>R88208</v>
      </c>
    </row>
    <row r="87" spans="1:60" x14ac:dyDescent="0.25">
      <c r="A87">
        <v>112002</v>
      </c>
      <c r="B87" t="s">
        <v>581</v>
      </c>
      <c r="C87" t="s">
        <v>830</v>
      </c>
      <c r="F87">
        <v>0</v>
      </c>
      <c r="G87">
        <v>222</v>
      </c>
      <c r="H87">
        <v>0</v>
      </c>
      <c r="I87">
        <v>0</v>
      </c>
      <c r="J87" t="s">
        <v>1727</v>
      </c>
      <c r="L87">
        <v>1</v>
      </c>
      <c r="M87">
        <v>1</v>
      </c>
      <c r="N87">
        <v>1</v>
      </c>
      <c r="O87">
        <v>0</v>
      </c>
      <c r="R87">
        <v>0</v>
      </c>
      <c r="U87">
        <v>1</v>
      </c>
      <c r="V87">
        <v>0.65</v>
      </c>
      <c r="W87">
        <v>0</v>
      </c>
      <c r="X87">
        <v>0.112</v>
      </c>
      <c r="Y87">
        <v>0</v>
      </c>
      <c r="Z87" t="s">
        <v>767</v>
      </c>
      <c r="AA87">
        <v>50</v>
      </c>
      <c r="AB87">
        <v>2.5</v>
      </c>
      <c r="AC87">
        <v>1</v>
      </c>
      <c r="AD87">
        <v>0</v>
      </c>
      <c r="AE87">
        <v>73.511489999999995</v>
      </c>
      <c r="AF87">
        <v>88.948899999999995</v>
      </c>
      <c r="AG87">
        <v>2.7928500000000001</v>
      </c>
      <c r="AH87">
        <v>3.3514200000000001</v>
      </c>
      <c r="AI87">
        <v>14.297319999999999</v>
      </c>
      <c r="AJ87" s="329">
        <v>826.54183999999998</v>
      </c>
      <c r="AL87">
        <v>0</v>
      </c>
      <c r="AQ87" t="s">
        <v>767</v>
      </c>
      <c r="AR87" t="s">
        <v>767</v>
      </c>
      <c r="AS87" t="s">
        <v>767</v>
      </c>
      <c r="AZ87">
        <v>0</v>
      </c>
      <c r="BA87" t="s">
        <v>832</v>
      </c>
      <c r="BB87" t="s">
        <v>1390</v>
      </c>
      <c r="BC87" t="s">
        <v>831</v>
      </c>
      <c r="BD87" t="s">
        <v>2055</v>
      </c>
      <c r="BE87" s="330">
        <v>43138.470300925925</v>
      </c>
      <c r="BH87" t="str">
        <f>VLOOKUP(B:B,výpočty!$Z$246:$Z$515,1,FALSE)</f>
        <v>R84084</v>
      </c>
    </row>
    <row r="88" spans="1:60" x14ac:dyDescent="0.25">
      <c r="A88">
        <v>112002</v>
      </c>
      <c r="B88" t="s">
        <v>579</v>
      </c>
      <c r="C88" t="s">
        <v>833</v>
      </c>
      <c r="F88">
        <v>0</v>
      </c>
      <c r="G88">
        <v>222</v>
      </c>
      <c r="H88">
        <v>0</v>
      </c>
      <c r="I88">
        <v>0</v>
      </c>
      <c r="J88" t="s">
        <v>1727</v>
      </c>
      <c r="L88">
        <v>1</v>
      </c>
      <c r="M88">
        <v>1</v>
      </c>
      <c r="N88">
        <v>1</v>
      </c>
      <c r="O88">
        <v>0</v>
      </c>
      <c r="R88">
        <v>0</v>
      </c>
      <c r="U88">
        <v>1</v>
      </c>
      <c r="V88">
        <v>0.65</v>
      </c>
      <c r="W88">
        <v>0</v>
      </c>
      <c r="X88">
        <v>0.112</v>
      </c>
      <c r="Y88">
        <v>0</v>
      </c>
      <c r="Z88" t="s">
        <v>767</v>
      </c>
      <c r="AA88">
        <v>50</v>
      </c>
      <c r="AB88">
        <v>2.5</v>
      </c>
      <c r="AC88">
        <v>1</v>
      </c>
      <c r="AD88">
        <v>0</v>
      </c>
      <c r="AE88">
        <v>73.511489999999995</v>
      </c>
      <c r="AF88">
        <v>88.948899999999995</v>
      </c>
      <c r="AG88">
        <v>2.7928500000000001</v>
      </c>
      <c r="AH88">
        <v>3.3514200000000001</v>
      </c>
      <c r="AI88">
        <v>14.297319999999999</v>
      </c>
      <c r="AJ88" s="329">
        <v>826.54183999999998</v>
      </c>
      <c r="AL88">
        <v>0</v>
      </c>
      <c r="AQ88" t="s">
        <v>767</v>
      </c>
      <c r="AR88" t="s">
        <v>767</v>
      </c>
      <c r="AS88" t="s">
        <v>767</v>
      </c>
      <c r="AZ88">
        <v>0</v>
      </c>
      <c r="BA88" t="s">
        <v>835</v>
      </c>
      <c r="BB88" t="s">
        <v>1391</v>
      </c>
      <c r="BC88" t="s">
        <v>834</v>
      </c>
      <c r="BD88" t="s">
        <v>2055</v>
      </c>
      <c r="BE88" s="330">
        <v>43138.469189814816</v>
      </c>
      <c r="BH88" t="str">
        <f>VLOOKUP(B:B,výpočty!$Z$246:$Z$515,1,FALSE)</f>
        <v>R84085</v>
      </c>
    </row>
    <row r="89" spans="1:60" x14ac:dyDescent="0.25">
      <c r="A89">
        <v>112002</v>
      </c>
      <c r="B89" t="s">
        <v>575</v>
      </c>
      <c r="C89" t="s">
        <v>941</v>
      </c>
      <c r="F89">
        <v>0</v>
      </c>
      <c r="G89">
        <v>222</v>
      </c>
      <c r="H89">
        <v>0</v>
      </c>
      <c r="I89">
        <v>0</v>
      </c>
      <c r="J89" t="s">
        <v>1727</v>
      </c>
      <c r="L89">
        <v>1</v>
      </c>
      <c r="M89">
        <v>1</v>
      </c>
      <c r="N89">
        <v>1</v>
      </c>
      <c r="O89">
        <v>0</v>
      </c>
      <c r="R89">
        <v>0</v>
      </c>
      <c r="U89">
        <v>1</v>
      </c>
      <c r="V89">
        <v>0.65</v>
      </c>
      <c r="W89">
        <v>0</v>
      </c>
      <c r="X89">
        <v>0.112</v>
      </c>
      <c r="Y89">
        <v>0</v>
      </c>
      <c r="Z89" t="s">
        <v>767</v>
      </c>
      <c r="AA89">
        <v>50</v>
      </c>
      <c r="AB89">
        <v>2.5</v>
      </c>
      <c r="AC89">
        <v>1</v>
      </c>
      <c r="AD89">
        <v>0</v>
      </c>
      <c r="AE89">
        <v>73.511489999999995</v>
      </c>
      <c r="AF89">
        <v>88.948899999999995</v>
      </c>
      <c r="AG89">
        <v>2.7928500000000001</v>
      </c>
      <c r="AH89">
        <v>3.3514200000000001</v>
      </c>
      <c r="AI89">
        <v>14.297319999999999</v>
      </c>
      <c r="AJ89" s="329">
        <v>826.54183999999998</v>
      </c>
      <c r="AL89">
        <v>0</v>
      </c>
      <c r="AQ89" t="s">
        <v>767</v>
      </c>
      <c r="AR89" t="s">
        <v>767</v>
      </c>
      <c r="AS89" t="s">
        <v>767</v>
      </c>
      <c r="AZ89">
        <v>0</v>
      </c>
      <c r="BA89" t="s">
        <v>942</v>
      </c>
      <c r="BB89" t="s">
        <v>1431</v>
      </c>
      <c r="BC89" t="s">
        <v>1745</v>
      </c>
      <c r="BD89" t="s">
        <v>2055</v>
      </c>
      <c r="BE89" s="330">
        <v>43138.469166666669</v>
      </c>
      <c r="BH89" t="str">
        <f>VLOOKUP(B:B,výpočty!$Z$246:$Z$515,1,FALSE)</f>
        <v>R92823</v>
      </c>
    </row>
    <row r="90" spans="1:60" x14ac:dyDescent="0.25">
      <c r="A90">
        <v>112002</v>
      </c>
      <c r="B90" t="s">
        <v>573</v>
      </c>
      <c r="C90" t="s">
        <v>939</v>
      </c>
      <c r="F90">
        <v>0</v>
      </c>
      <c r="G90">
        <v>222</v>
      </c>
      <c r="H90">
        <v>0</v>
      </c>
      <c r="I90">
        <v>0</v>
      </c>
      <c r="J90" t="s">
        <v>1727</v>
      </c>
      <c r="L90">
        <v>1</v>
      </c>
      <c r="M90">
        <v>1</v>
      </c>
      <c r="N90">
        <v>1</v>
      </c>
      <c r="O90">
        <v>0</v>
      </c>
      <c r="R90">
        <v>0</v>
      </c>
      <c r="U90">
        <v>1</v>
      </c>
      <c r="V90">
        <v>0.65</v>
      </c>
      <c r="W90">
        <v>0</v>
      </c>
      <c r="X90">
        <v>0.112</v>
      </c>
      <c r="Y90">
        <v>0</v>
      </c>
      <c r="Z90" t="s">
        <v>767</v>
      </c>
      <c r="AA90">
        <v>50</v>
      </c>
      <c r="AB90">
        <v>2.5</v>
      </c>
      <c r="AC90">
        <v>1</v>
      </c>
      <c r="AD90">
        <v>1</v>
      </c>
      <c r="AE90">
        <v>73.511489999999995</v>
      </c>
      <c r="AF90">
        <v>88.948899999999995</v>
      </c>
      <c r="AG90">
        <v>2.7928500000000001</v>
      </c>
      <c r="AH90">
        <v>3.3514200000000001</v>
      </c>
      <c r="AI90">
        <v>14.297319999999999</v>
      </c>
      <c r="AJ90" s="329">
        <v>826.54183999999998</v>
      </c>
      <c r="AL90">
        <v>0</v>
      </c>
      <c r="AQ90" t="s">
        <v>767</v>
      </c>
      <c r="AR90" t="s">
        <v>767</v>
      </c>
      <c r="AS90" t="s">
        <v>767</v>
      </c>
      <c r="AZ90">
        <v>0</v>
      </c>
      <c r="BA90" t="s">
        <v>940</v>
      </c>
      <c r="BB90" t="s">
        <v>1430</v>
      </c>
      <c r="BC90" t="s">
        <v>1703</v>
      </c>
      <c r="BD90" t="s">
        <v>2055</v>
      </c>
      <c r="BE90" s="330">
        <v>43138.470289351855</v>
      </c>
      <c r="BH90" t="str">
        <f>VLOOKUP(B:B,výpočty!$Z$246:$Z$515,1,FALSE)</f>
        <v>R92822</v>
      </c>
    </row>
    <row r="91" spans="1:60" x14ac:dyDescent="0.25">
      <c r="A91">
        <v>112002</v>
      </c>
      <c r="B91" t="s">
        <v>580</v>
      </c>
      <c r="C91" t="s">
        <v>933</v>
      </c>
      <c r="F91">
        <v>0</v>
      </c>
      <c r="G91">
        <v>222</v>
      </c>
      <c r="H91">
        <v>0</v>
      </c>
      <c r="I91">
        <v>0</v>
      </c>
      <c r="J91" t="s">
        <v>1727</v>
      </c>
      <c r="L91">
        <v>1</v>
      </c>
      <c r="M91">
        <v>1</v>
      </c>
      <c r="N91">
        <v>1</v>
      </c>
      <c r="O91">
        <v>0</v>
      </c>
      <c r="R91">
        <v>0</v>
      </c>
      <c r="U91">
        <v>1</v>
      </c>
      <c r="V91">
        <v>0.65</v>
      </c>
      <c r="W91">
        <v>0</v>
      </c>
      <c r="X91">
        <v>0.112</v>
      </c>
      <c r="Y91">
        <v>0</v>
      </c>
      <c r="Z91" t="s">
        <v>767</v>
      </c>
      <c r="AA91">
        <v>50</v>
      </c>
      <c r="AB91">
        <v>2.5</v>
      </c>
      <c r="AC91">
        <v>1</v>
      </c>
      <c r="AD91">
        <v>0</v>
      </c>
      <c r="AE91">
        <v>73.511489999999995</v>
      </c>
      <c r="AF91">
        <v>88.948899999999995</v>
      </c>
      <c r="AG91">
        <v>2.7928500000000001</v>
      </c>
      <c r="AH91">
        <v>3.3514200000000001</v>
      </c>
      <c r="AI91">
        <v>14.297319999999999</v>
      </c>
      <c r="AJ91" s="329">
        <v>826.54183999999998</v>
      </c>
      <c r="AL91">
        <v>0</v>
      </c>
      <c r="AQ91" t="s">
        <v>767</v>
      </c>
      <c r="AR91" t="s">
        <v>767</v>
      </c>
      <c r="AS91" t="s">
        <v>767</v>
      </c>
      <c r="AZ91">
        <v>0</v>
      </c>
      <c r="BA91" t="s">
        <v>935</v>
      </c>
      <c r="BB91" t="s">
        <v>1428</v>
      </c>
      <c r="BC91" t="s">
        <v>934</v>
      </c>
      <c r="BD91" t="s">
        <v>2055</v>
      </c>
      <c r="BE91" s="330">
        <v>43138.478379629632</v>
      </c>
      <c r="BH91" t="str">
        <f>VLOOKUP(B:B,výpočty!$Z$246:$Z$515,1,FALSE)</f>
        <v>R92820</v>
      </c>
    </row>
    <row r="92" spans="1:60" x14ac:dyDescent="0.25">
      <c r="A92">
        <v>112002</v>
      </c>
      <c r="B92" t="s">
        <v>568</v>
      </c>
      <c r="C92" t="s">
        <v>836</v>
      </c>
      <c r="F92">
        <v>0</v>
      </c>
      <c r="G92">
        <v>222</v>
      </c>
      <c r="H92">
        <v>0</v>
      </c>
      <c r="I92">
        <v>0</v>
      </c>
      <c r="J92" t="s">
        <v>1727</v>
      </c>
      <c r="L92">
        <v>1</v>
      </c>
      <c r="M92">
        <v>1</v>
      </c>
      <c r="N92">
        <v>1</v>
      </c>
      <c r="O92">
        <v>0</v>
      </c>
      <c r="R92">
        <v>0</v>
      </c>
      <c r="U92">
        <v>1</v>
      </c>
      <c r="V92">
        <v>0.65</v>
      </c>
      <c r="W92">
        <v>0</v>
      </c>
      <c r="X92">
        <v>0.112</v>
      </c>
      <c r="Y92">
        <v>0</v>
      </c>
      <c r="Z92" t="s">
        <v>767</v>
      </c>
      <c r="AA92">
        <v>50</v>
      </c>
      <c r="AB92">
        <v>2.5</v>
      </c>
      <c r="AC92">
        <v>1</v>
      </c>
      <c r="AD92">
        <v>0</v>
      </c>
      <c r="AE92">
        <v>73.511489999999995</v>
      </c>
      <c r="AF92">
        <v>88.948899999999995</v>
      </c>
      <c r="AG92">
        <v>2.7928500000000001</v>
      </c>
      <c r="AH92">
        <v>3.3514200000000001</v>
      </c>
      <c r="AI92">
        <v>14.297319999999999</v>
      </c>
      <c r="AJ92" s="329">
        <v>826.54183999999998</v>
      </c>
      <c r="AL92">
        <v>0</v>
      </c>
      <c r="AQ92" t="s">
        <v>767</v>
      </c>
      <c r="AR92" t="s">
        <v>767</v>
      </c>
      <c r="AS92" t="s">
        <v>767</v>
      </c>
      <c r="AZ92">
        <v>0</v>
      </c>
      <c r="BA92" t="s">
        <v>838</v>
      </c>
      <c r="BB92" t="s">
        <v>1392</v>
      </c>
      <c r="BC92" t="s">
        <v>837</v>
      </c>
      <c r="BD92" t="s">
        <v>2055</v>
      </c>
      <c r="BE92" s="330">
        <v>43138.469178240739</v>
      </c>
      <c r="BH92" t="str">
        <f>VLOOKUP(B:B,výpočty!$Z$246:$Z$515,1,FALSE)</f>
        <v>R84086</v>
      </c>
    </row>
    <row r="93" spans="1:60" x14ac:dyDescent="0.25">
      <c r="A93">
        <v>112002</v>
      </c>
      <c r="B93" t="s">
        <v>576</v>
      </c>
      <c r="C93" t="s">
        <v>1039</v>
      </c>
      <c r="F93">
        <v>0</v>
      </c>
      <c r="G93">
        <v>222</v>
      </c>
      <c r="H93">
        <v>0</v>
      </c>
      <c r="I93">
        <v>0</v>
      </c>
      <c r="J93" t="s">
        <v>1727</v>
      </c>
      <c r="L93">
        <v>1</v>
      </c>
      <c r="M93">
        <v>1</v>
      </c>
      <c r="N93">
        <v>1</v>
      </c>
      <c r="O93">
        <v>0</v>
      </c>
      <c r="R93">
        <v>0</v>
      </c>
      <c r="U93">
        <v>1</v>
      </c>
      <c r="V93">
        <v>1.625</v>
      </c>
      <c r="W93">
        <v>0</v>
      </c>
      <c r="X93">
        <v>0.45200000000000001</v>
      </c>
      <c r="Y93">
        <v>0</v>
      </c>
      <c r="Z93" t="s">
        <v>767</v>
      </c>
      <c r="AA93">
        <v>20</v>
      </c>
      <c r="AB93">
        <v>0.5</v>
      </c>
      <c r="AC93">
        <v>1</v>
      </c>
      <c r="AD93">
        <v>0</v>
      </c>
      <c r="AE93">
        <v>389.93068</v>
      </c>
      <c r="AF93">
        <v>471.81612000000001</v>
      </c>
      <c r="AG93">
        <v>14.814209999999999</v>
      </c>
      <c r="AH93">
        <v>17.777049999999999</v>
      </c>
      <c r="AI93">
        <v>75.837940000000003</v>
      </c>
      <c r="AJ93" s="329">
        <v>4384.2668199999998</v>
      </c>
      <c r="AL93">
        <v>0</v>
      </c>
      <c r="AQ93" t="s">
        <v>767</v>
      </c>
      <c r="AR93" t="s">
        <v>767</v>
      </c>
      <c r="AS93" t="s">
        <v>767</v>
      </c>
      <c r="AZ93">
        <v>0</v>
      </c>
      <c r="BA93" t="s">
        <v>1041</v>
      </c>
      <c r="BB93" t="s">
        <v>1459</v>
      </c>
      <c r="BC93" t="s">
        <v>1040</v>
      </c>
      <c r="BD93" t="s">
        <v>2055</v>
      </c>
      <c r="BE93" s="330">
        <v>43138.469131944446</v>
      </c>
      <c r="BH93" t="str">
        <f>VLOOKUP(B:B,výpočty!$Z$246:$Z$515,1,FALSE)</f>
        <v>R95818</v>
      </c>
    </row>
    <row r="94" spans="1:60" x14ac:dyDescent="0.25">
      <c r="A94">
        <v>112002</v>
      </c>
      <c r="B94" t="s">
        <v>577</v>
      </c>
      <c r="C94" t="s">
        <v>875</v>
      </c>
      <c r="F94">
        <v>0</v>
      </c>
      <c r="G94">
        <v>222</v>
      </c>
      <c r="H94">
        <v>0</v>
      </c>
      <c r="I94">
        <v>0</v>
      </c>
      <c r="J94" t="s">
        <v>1727</v>
      </c>
      <c r="L94">
        <v>1</v>
      </c>
      <c r="M94">
        <v>1</v>
      </c>
      <c r="N94">
        <v>1</v>
      </c>
      <c r="O94">
        <v>0</v>
      </c>
      <c r="R94">
        <v>0</v>
      </c>
      <c r="U94">
        <v>1</v>
      </c>
      <c r="V94">
        <v>0.65</v>
      </c>
      <c r="W94">
        <v>0</v>
      </c>
      <c r="X94">
        <v>5.8999999999999997E-2</v>
      </c>
      <c r="Y94">
        <v>0</v>
      </c>
      <c r="Z94" t="s">
        <v>767</v>
      </c>
      <c r="AA94">
        <v>50</v>
      </c>
      <c r="AB94">
        <v>2.5</v>
      </c>
      <c r="AC94">
        <v>1</v>
      </c>
      <c r="AD94">
        <v>0</v>
      </c>
      <c r="AE94">
        <v>34.908369999999998</v>
      </c>
      <c r="AF94">
        <v>42.239130000000003</v>
      </c>
      <c r="AG94">
        <v>1.3262499999999999</v>
      </c>
      <c r="AH94">
        <v>1.5914999999999999</v>
      </c>
      <c r="AI94">
        <v>6.7893499999999998</v>
      </c>
      <c r="AJ94" s="329">
        <v>392.49961000000002</v>
      </c>
      <c r="AL94">
        <v>0</v>
      </c>
      <c r="AQ94" t="s">
        <v>767</v>
      </c>
      <c r="AR94" t="s">
        <v>767</v>
      </c>
      <c r="AS94" t="s">
        <v>767</v>
      </c>
      <c r="AZ94">
        <v>0</v>
      </c>
      <c r="BA94" t="s">
        <v>877</v>
      </c>
      <c r="BB94" t="s">
        <v>1408</v>
      </c>
      <c r="BC94" t="s">
        <v>876</v>
      </c>
      <c r="BD94" t="s">
        <v>2055</v>
      </c>
      <c r="BE94" s="330">
        <v>43138.47828703704</v>
      </c>
      <c r="BH94" t="str">
        <f>VLOOKUP(B:B,výpočty!$Z$246:$Z$515,1,FALSE)</f>
        <v>R88228</v>
      </c>
    </row>
    <row r="95" spans="1:60" x14ac:dyDescent="0.25">
      <c r="A95">
        <v>112002</v>
      </c>
      <c r="B95" t="s">
        <v>583</v>
      </c>
      <c r="C95" t="s">
        <v>805</v>
      </c>
      <c r="F95">
        <v>0</v>
      </c>
      <c r="G95">
        <v>222</v>
      </c>
      <c r="H95">
        <v>0</v>
      </c>
      <c r="I95">
        <v>0</v>
      </c>
      <c r="J95" t="s">
        <v>1727</v>
      </c>
      <c r="L95">
        <v>1</v>
      </c>
      <c r="M95">
        <v>1</v>
      </c>
      <c r="N95">
        <v>1</v>
      </c>
      <c r="O95">
        <v>0</v>
      </c>
      <c r="R95">
        <v>0</v>
      </c>
      <c r="U95">
        <v>1</v>
      </c>
      <c r="V95">
        <v>0.65</v>
      </c>
      <c r="W95">
        <v>0</v>
      </c>
      <c r="X95">
        <v>5.8999999999999997E-2</v>
      </c>
      <c r="Y95">
        <v>0</v>
      </c>
      <c r="Z95" t="s">
        <v>767</v>
      </c>
      <c r="AA95">
        <v>50</v>
      </c>
      <c r="AB95">
        <v>2.5</v>
      </c>
      <c r="AC95">
        <v>1</v>
      </c>
      <c r="AD95">
        <v>0</v>
      </c>
      <c r="AE95">
        <v>34.908369999999998</v>
      </c>
      <c r="AF95">
        <v>42.239130000000003</v>
      </c>
      <c r="AG95">
        <v>1.3262499999999999</v>
      </c>
      <c r="AH95">
        <v>1.5914999999999999</v>
      </c>
      <c r="AI95">
        <v>6.7893499999999998</v>
      </c>
      <c r="AJ95">
        <v>392.49961000000002</v>
      </c>
      <c r="AL95">
        <v>0</v>
      </c>
      <c r="AQ95" t="s">
        <v>767</v>
      </c>
      <c r="AR95" t="s">
        <v>767</v>
      </c>
      <c r="AS95" t="s">
        <v>767</v>
      </c>
      <c r="AZ95">
        <v>0</v>
      </c>
      <c r="BA95" t="s">
        <v>807</v>
      </c>
      <c r="BB95" t="s">
        <v>1382</v>
      </c>
      <c r="BC95" t="s">
        <v>806</v>
      </c>
      <c r="BD95" t="s">
        <v>2055</v>
      </c>
      <c r="BE95" s="330">
        <v>43138.47828703704</v>
      </c>
      <c r="BH95" t="str">
        <f>VLOOKUP(B:B,výpočty!$Z$246:$Z$515,1,FALSE)</f>
        <v>R77012</v>
      </c>
    </row>
    <row r="96" spans="1:60" x14ac:dyDescent="0.25">
      <c r="A96">
        <v>112002</v>
      </c>
      <c r="B96" t="s">
        <v>574</v>
      </c>
      <c r="C96" t="s">
        <v>918</v>
      </c>
      <c r="F96">
        <v>0</v>
      </c>
      <c r="G96">
        <v>222</v>
      </c>
      <c r="H96">
        <v>0</v>
      </c>
      <c r="I96">
        <v>0</v>
      </c>
      <c r="J96" t="s">
        <v>1727</v>
      </c>
      <c r="L96">
        <v>1</v>
      </c>
      <c r="M96">
        <v>1</v>
      </c>
      <c r="N96">
        <v>1</v>
      </c>
      <c r="O96">
        <v>0</v>
      </c>
      <c r="R96">
        <v>0</v>
      </c>
      <c r="U96">
        <v>1</v>
      </c>
      <c r="V96">
        <v>0.65</v>
      </c>
      <c r="W96">
        <v>0</v>
      </c>
      <c r="X96">
        <v>5.8999999999999997E-2</v>
      </c>
      <c r="Y96">
        <v>0</v>
      </c>
      <c r="Z96" t="s">
        <v>767</v>
      </c>
      <c r="AA96">
        <v>50</v>
      </c>
      <c r="AB96">
        <v>2.5</v>
      </c>
      <c r="AC96">
        <v>1</v>
      </c>
      <c r="AD96">
        <v>0</v>
      </c>
      <c r="AE96">
        <v>34.908369999999998</v>
      </c>
      <c r="AF96">
        <v>42.239130000000003</v>
      </c>
      <c r="AG96">
        <v>1.3262499999999999</v>
      </c>
      <c r="AH96">
        <v>1.5914999999999999</v>
      </c>
      <c r="AI96">
        <v>6.7893499999999998</v>
      </c>
      <c r="AJ96">
        <v>392.49961000000002</v>
      </c>
      <c r="AL96">
        <v>0</v>
      </c>
      <c r="AQ96" t="s">
        <v>767</v>
      </c>
      <c r="AR96" t="s">
        <v>767</v>
      </c>
      <c r="AS96" t="s">
        <v>767</v>
      </c>
      <c r="AZ96">
        <v>0</v>
      </c>
      <c r="BA96" t="s">
        <v>920</v>
      </c>
      <c r="BB96" t="s">
        <v>1423</v>
      </c>
      <c r="BC96" t="s">
        <v>919</v>
      </c>
      <c r="BD96" t="s">
        <v>2055</v>
      </c>
      <c r="BE96" s="330">
        <v>43138.478275462963</v>
      </c>
      <c r="BH96" t="str">
        <f>VLOOKUP(B:B,výpočty!$Z$246:$Z$515,1,FALSE)</f>
        <v>R92810</v>
      </c>
    </row>
    <row r="97" spans="1:60" x14ac:dyDescent="0.25">
      <c r="A97">
        <v>112002</v>
      </c>
      <c r="B97" t="s">
        <v>572</v>
      </c>
      <c r="C97" t="s">
        <v>891</v>
      </c>
      <c r="F97">
        <v>0</v>
      </c>
      <c r="G97">
        <v>222</v>
      </c>
      <c r="H97">
        <v>0</v>
      </c>
      <c r="I97">
        <v>0</v>
      </c>
      <c r="J97" t="s">
        <v>1727</v>
      </c>
      <c r="L97">
        <v>1</v>
      </c>
      <c r="M97">
        <v>1</v>
      </c>
      <c r="N97">
        <v>1</v>
      </c>
      <c r="O97">
        <v>0</v>
      </c>
      <c r="R97">
        <v>0</v>
      </c>
      <c r="U97">
        <v>1</v>
      </c>
      <c r="V97">
        <v>0.65</v>
      </c>
      <c r="W97">
        <v>0</v>
      </c>
      <c r="X97">
        <v>5.8999999999999997E-2</v>
      </c>
      <c r="Y97">
        <v>0</v>
      </c>
      <c r="Z97" t="s">
        <v>767</v>
      </c>
      <c r="AA97">
        <v>50</v>
      </c>
      <c r="AB97">
        <v>2.5</v>
      </c>
      <c r="AC97">
        <v>1</v>
      </c>
      <c r="AD97">
        <v>0</v>
      </c>
      <c r="AE97">
        <v>34.908369999999998</v>
      </c>
      <c r="AF97">
        <v>42.239130000000003</v>
      </c>
      <c r="AG97">
        <v>1.3262499999999999</v>
      </c>
      <c r="AH97">
        <v>1.5914999999999999</v>
      </c>
      <c r="AI97">
        <v>6.7893499999999998</v>
      </c>
      <c r="AJ97">
        <v>392.49961000000002</v>
      </c>
      <c r="AL97">
        <v>0</v>
      </c>
      <c r="AQ97" t="s">
        <v>767</v>
      </c>
      <c r="AR97" t="s">
        <v>767</v>
      </c>
      <c r="AS97" t="s">
        <v>767</v>
      </c>
      <c r="AZ97">
        <v>0</v>
      </c>
      <c r="BA97" t="s">
        <v>893</v>
      </c>
      <c r="BB97" t="s">
        <v>1414</v>
      </c>
      <c r="BC97" t="s">
        <v>892</v>
      </c>
      <c r="BD97" t="s">
        <v>2055</v>
      </c>
      <c r="BE97" s="330">
        <v>43138.478275462963</v>
      </c>
      <c r="BH97" t="str">
        <f>VLOOKUP(B:B,výpočty!$Z$246:$Z$515,1,FALSE)</f>
        <v>R88304</v>
      </c>
    </row>
    <row r="98" spans="1:60" x14ac:dyDescent="0.25">
      <c r="A98">
        <v>112002</v>
      </c>
      <c r="B98" t="s">
        <v>570</v>
      </c>
      <c r="C98" t="s">
        <v>978</v>
      </c>
      <c r="F98">
        <v>0</v>
      </c>
      <c r="G98">
        <v>222</v>
      </c>
      <c r="H98">
        <v>0</v>
      </c>
      <c r="I98">
        <v>0</v>
      </c>
      <c r="J98" t="s">
        <v>1727</v>
      </c>
      <c r="L98">
        <v>1</v>
      </c>
      <c r="M98">
        <v>1</v>
      </c>
      <c r="N98">
        <v>1</v>
      </c>
      <c r="O98">
        <v>0</v>
      </c>
      <c r="R98">
        <v>0</v>
      </c>
      <c r="U98">
        <v>1</v>
      </c>
      <c r="V98">
        <v>2</v>
      </c>
      <c r="W98">
        <v>0</v>
      </c>
      <c r="X98">
        <v>0.41799999999999998</v>
      </c>
      <c r="Y98">
        <v>0</v>
      </c>
      <c r="Z98" t="s">
        <v>767</v>
      </c>
      <c r="AA98">
        <v>50</v>
      </c>
      <c r="AB98">
        <v>0.5</v>
      </c>
      <c r="AC98">
        <v>1</v>
      </c>
      <c r="AD98">
        <v>0</v>
      </c>
      <c r="AE98">
        <v>674.35422000000005</v>
      </c>
      <c r="AF98">
        <v>815.96861000000001</v>
      </c>
      <c r="AG98">
        <v>25.62002</v>
      </c>
      <c r="AH98">
        <v>30.744019999999999</v>
      </c>
      <c r="AI98">
        <v>131.15571</v>
      </c>
      <c r="AJ98" s="329">
        <v>7582.2420199999997</v>
      </c>
      <c r="AL98">
        <v>0</v>
      </c>
      <c r="AQ98" t="s">
        <v>767</v>
      </c>
      <c r="AR98" t="s">
        <v>767</v>
      </c>
      <c r="AS98" t="s">
        <v>767</v>
      </c>
      <c r="AZ98">
        <v>0</v>
      </c>
      <c r="BA98" t="s">
        <v>980</v>
      </c>
      <c r="BB98" t="s">
        <v>1446</v>
      </c>
      <c r="BC98" t="s">
        <v>979</v>
      </c>
      <c r="BD98" t="s">
        <v>2055</v>
      </c>
      <c r="BE98" s="330">
        <v>43138.478402777779</v>
      </c>
      <c r="BH98" t="str">
        <f>VLOOKUP(B:B,výpočty!$Z$246:$Z$515,1,FALSE)</f>
        <v>R92846</v>
      </c>
    </row>
    <row r="99" spans="1:60" x14ac:dyDescent="0.25">
      <c r="A99">
        <v>112002</v>
      </c>
      <c r="B99" t="s">
        <v>569</v>
      </c>
      <c r="C99" t="s">
        <v>975</v>
      </c>
      <c r="F99">
        <v>0</v>
      </c>
      <c r="G99">
        <v>222</v>
      </c>
      <c r="H99">
        <v>0</v>
      </c>
      <c r="I99">
        <v>0</v>
      </c>
      <c r="J99" t="s">
        <v>1727</v>
      </c>
      <c r="L99">
        <v>1</v>
      </c>
      <c r="M99">
        <v>1</v>
      </c>
      <c r="N99">
        <v>1</v>
      </c>
      <c r="O99">
        <v>0</v>
      </c>
      <c r="R99">
        <v>0</v>
      </c>
      <c r="U99">
        <v>1</v>
      </c>
      <c r="V99">
        <v>2</v>
      </c>
      <c r="W99">
        <v>0</v>
      </c>
      <c r="X99">
        <v>0.41799999999999998</v>
      </c>
      <c r="Y99">
        <v>0</v>
      </c>
      <c r="Z99" t="s">
        <v>767</v>
      </c>
      <c r="AA99">
        <v>50</v>
      </c>
      <c r="AB99">
        <v>0.5</v>
      </c>
      <c r="AC99">
        <v>1</v>
      </c>
      <c r="AD99">
        <v>0</v>
      </c>
      <c r="AE99">
        <v>612.55228</v>
      </c>
      <c r="AF99">
        <v>741.18826000000001</v>
      </c>
      <c r="AG99">
        <v>23.272030000000001</v>
      </c>
      <c r="AH99">
        <v>27.926439999999999</v>
      </c>
      <c r="AI99">
        <v>119.13579</v>
      </c>
      <c r="AJ99" s="329">
        <v>6887.3590899999999</v>
      </c>
      <c r="AL99">
        <v>0</v>
      </c>
      <c r="AQ99" t="s">
        <v>767</v>
      </c>
      <c r="AR99" t="s">
        <v>767</v>
      </c>
      <c r="AS99" t="s">
        <v>767</v>
      </c>
      <c r="AZ99">
        <v>0</v>
      </c>
      <c r="BA99" t="s">
        <v>977</v>
      </c>
      <c r="BB99" t="s">
        <v>1445</v>
      </c>
      <c r="BC99" t="s">
        <v>976</v>
      </c>
      <c r="BD99" t="s">
        <v>2055</v>
      </c>
      <c r="BE99" s="330">
        <v>43138.478402777779</v>
      </c>
      <c r="BH99" t="str">
        <f>VLOOKUP(B:B,výpočty!$Z$246:$Z$515,1,FALSE)</f>
        <v>R92845</v>
      </c>
    </row>
    <row r="100" spans="1:60" x14ac:dyDescent="0.25">
      <c r="A100">
        <v>112002</v>
      </c>
      <c r="B100" t="s">
        <v>556</v>
      </c>
      <c r="C100" t="s">
        <v>2121</v>
      </c>
      <c r="F100">
        <v>0</v>
      </c>
      <c r="G100">
        <v>222</v>
      </c>
      <c r="H100">
        <v>0</v>
      </c>
      <c r="I100">
        <v>0</v>
      </c>
      <c r="J100" t="s">
        <v>1727</v>
      </c>
      <c r="L100">
        <v>1</v>
      </c>
      <c r="M100">
        <v>1</v>
      </c>
      <c r="N100">
        <v>1</v>
      </c>
      <c r="O100">
        <v>0</v>
      </c>
      <c r="R100">
        <v>0</v>
      </c>
      <c r="U100">
        <v>1</v>
      </c>
      <c r="V100">
        <v>0.36</v>
      </c>
      <c r="W100">
        <v>0.02</v>
      </c>
      <c r="X100">
        <v>0.2</v>
      </c>
      <c r="Y100">
        <v>0</v>
      </c>
      <c r="Z100" t="s">
        <v>767</v>
      </c>
      <c r="AA100">
        <v>20</v>
      </c>
      <c r="AB100">
        <v>0.1</v>
      </c>
      <c r="AC100">
        <v>1</v>
      </c>
      <c r="AD100">
        <v>0</v>
      </c>
      <c r="AE100">
        <v>468.37378999999999</v>
      </c>
      <c r="AF100">
        <v>566.73229000000003</v>
      </c>
      <c r="AG100">
        <v>17.794429999999998</v>
      </c>
      <c r="AH100">
        <v>21.35332</v>
      </c>
      <c r="AI100">
        <v>0</v>
      </c>
      <c r="AJ100" s="329">
        <v>0</v>
      </c>
      <c r="AL100">
        <v>0</v>
      </c>
      <c r="AN100" t="s">
        <v>2122</v>
      </c>
      <c r="AQ100" t="s">
        <v>767</v>
      </c>
      <c r="AR100" t="s">
        <v>767</v>
      </c>
      <c r="AS100" t="s">
        <v>767</v>
      </c>
      <c r="AZ100">
        <v>0</v>
      </c>
      <c r="BA100" t="s">
        <v>1733</v>
      </c>
      <c r="BB100" t="s">
        <v>2123</v>
      </c>
      <c r="BC100" t="s">
        <v>786</v>
      </c>
      <c r="BD100" t="s">
        <v>2058</v>
      </c>
      <c r="BE100" s="330">
        <v>43348.379606481481</v>
      </c>
      <c r="BH100" t="str">
        <f>VLOOKUP(B:B,výpočty!$Z$246:$Z$515,1,FALSE)</f>
        <v>R00058</v>
      </c>
    </row>
    <row r="101" spans="1:60" x14ac:dyDescent="0.25">
      <c r="A101">
        <v>112002</v>
      </c>
      <c r="B101" t="s">
        <v>555</v>
      </c>
      <c r="C101" t="s">
        <v>2120</v>
      </c>
      <c r="F101">
        <v>0</v>
      </c>
      <c r="G101">
        <v>222</v>
      </c>
      <c r="H101">
        <v>0</v>
      </c>
      <c r="I101">
        <v>0</v>
      </c>
      <c r="J101" t="s">
        <v>1727</v>
      </c>
      <c r="L101">
        <v>1</v>
      </c>
      <c r="M101">
        <v>1</v>
      </c>
      <c r="N101">
        <v>1</v>
      </c>
      <c r="O101">
        <v>0</v>
      </c>
      <c r="R101">
        <v>0</v>
      </c>
      <c r="U101">
        <v>1</v>
      </c>
      <c r="V101">
        <v>0.36</v>
      </c>
      <c r="W101">
        <v>0.02</v>
      </c>
      <c r="X101">
        <v>0.20300000000000001</v>
      </c>
      <c r="Y101">
        <v>0</v>
      </c>
      <c r="Z101" t="s">
        <v>767</v>
      </c>
      <c r="AA101">
        <v>20</v>
      </c>
      <c r="AB101">
        <v>0.1</v>
      </c>
      <c r="AC101">
        <v>1</v>
      </c>
      <c r="AD101">
        <v>0</v>
      </c>
      <c r="AE101">
        <v>386.53541999999999</v>
      </c>
      <c r="AF101">
        <v>467.70785999999998</v>
      </c>
      <c r="AG101">
        <v>14.685230000000001</v>
      </c>
      <c r="AH101">
        <v>17.62228</v>
      </c>
      <c r="AI101">
        <v>75.177589999999995</v>
      </c>
      <c r="AJ101" s="329">
        <v>4346.0915400000004</v>
      </c>
      <c r="AL101">
        <v>0</v>
      </c>
      <c r="AQ101" t="s">
        <v>767</v>
      </c>
      <c r="AR101" t="s">
        <v>767</v>
      </c>
      <c r="AS101" t="s">
        <v>767</v>
      </c>
      <c r="AZ101">
        <v>0</v>
      </c>
      <c r="BA101" t="s">
        <v>974</v>
      </c>
      <c r="BB101" t="s">
        <v>1444</v>
      </c>
      <c r="BC101" t="s">
        <v>973</v>
      </c>
      <c r="BD101" t="s">
        <v>2086</v>
      </c>
      <c r="BE101" s="330">
        <v>43328.337708333333</v>
      </c>
      <c r="BH101" t="str">
        <f>VLOOKUP(B:B,výpočty!$Z$246:$Z$515,1,FALSE)</f>
        <v>R92843</v>
      </c>
    </row>
    <row r="102" spans="1:60" x14ac:dyDescent="0.25">
      <c r="A102">
        <v>112002</v>
      </c>
      <c r="B102" t="s">
        <v>551</v>
      </c>
      <c r="C102" t="s">
        <v>851</v>
      </c>
      <c r="F102">
        <v>0</v>
      </c>
      <c r="G102">
        <v>222</v>
      </c>
      <c r="H102">
        <v>0</v>
      </c>
      <c r="I102">
        <v>0</v>
      </c>
      <c r="J102" t="s">
        <v>1727</v>
      </c>
      <c r="L102">
        <v>1</v>
      </c>
      <c r="M102">
        <v>1</v>
      </c>
      <c r="N102">
        <v>1</v>
      </c>
      <c r="O102">
        <v>0</v>
      </c>
      <c r="R102">
        <v>0</v>
      </c>
      <c r="U102">
        <v>1</v>
      </c>
      <c r="V102">
        <v>0.36</v>
      </c>
      <c r="W102">
        <v>0.02</v>
      </c>
      <c r="X102">
        <v>0.111</v>
      </c>
      <c r="Y102">
        <v>0</v>
      </c>
      <c r="Z102" t="s">
        <v>767</v>
      </c>
      <c r="AA102">
        <v>20</v>
      </c>
      <c r="AB102">
        <v>0.1</v>
      </c>
      <c r="AC102">
        <v>1</v>
      </c>
      <c r="AD102">
        <v>0</v>
      </c>
      <c r="AE102">
        <v>151.18984</v>
      </c>
      <c r="AF102">
        <v>182.93970999999999</v>
      </c>
      <c r="AG102">
        <v>5.7439999999999998</v>
      </c>
      <c r="AH102">
        <v>6.8928000000000003</v>
      </c>
      <c r="AI102">
        <v>29.405049999999999</v>
      </c>
      <c r="AJ102" s="329">
        <v>1699.93454</v>
      </c>
      <c r="AL102">
        <v>0</v>
      </c>
      <c r="AQ102" t="s">
        <v>767</v>
      </c>
      <c r="AR102" t="s">
        <v>767</v>
      </c>
      <c r="AS102" t="s">
        <v>767</v>
      </c>
      <c r="AZ102">
        <v>0</v>
      </c>
      <c r="BA102" t="s">
        <v>853</v>
      </c>
      <c r="BB102" t="s">
        <v>1398</v>
      </c>
      <c r="BC102" t="s">
        <v>852</v>
      </c>
      <c r="BD102" t="s">
        <v>2055</v>
      </c>
      <c r="BE102" s="330">
        <v>43138.469270833331</v>
      </c>
      <c r="BH102" t="str">
        <f>VLOOKUP(B:B,výpočty!$Z$246:$Z$515,1,FALSE)</f>
        <v>R84095</v>
      </c>
    </row>
    <row r="103" spans="1:60" x14ac:dyDescent="0.25">
      <c r="A103">
        <v>112002</v>
      </c>
      <c r="B103" t="s">
        <v>554</v>
      </c>
      <c r="C103" t="s">
        <v>848</v>
      </c>
      <c r="F103">
        <v>0</v>
      </c>
      <c r="G103">
        <v>222</v>
      </c>
      <c r="H103">
        <v>0</v>
      </c>
      <c r="I103">
        <v>0</v>
      </c>
      <c r="J103" t="s">
        <v>1727</v>
      </c>
      <c r="L103">
        <v>1</v>
      </c>
      <c r="M103">
        <v>1</v>
      </c>
      <c r="N103">
        <v>1</v>
      </c>
      <c r="O103">
        <v>0</v>
      </c>
      <c r="R103">
        <v>0</v>
      </c>
      <c r="U103">
        <v>1</v>
      </c>
      <c r="V103">
        <v>0.36</v>
      </c>
      <c r="W103">
        <v>0.02</v>
      </c>
      <c r="X103">
        <v>0.111</v>
      </c>
      <c r="Y103">
        <v>0</v>
      </c>
      <c r="Z103" t="s">
        <v>767</v>
      </c>
      <c r="AA103">
        <v>20</v>
      </c>
      <c r="AB103">
        <v>0.1</v>
      </c>
      <c r="AC103">
        <v>1</v>
      </c>
      <c r="AD103">
        <v>0</v>
      </c>
      <c r="AE103">
        <v>151.18984</v>
      </c>
      <c r="AF103">
        <v>182.93970999999999</v>
      </c>
      <c r="AG103">
        <v>5.7439999999999998</v>
      </c>
      <c r="AH103">
        <v>6.8928000000000003</v>
      </c>
      <c r="AI103">
        <v>29.405049999999999</v>
      </c>
      <c r="AJ103" s="329">
        <v>1699.93454</v>
      </c>
      <c r="AL103">
        <v>0</v>
      </c>
      <c r="AQ103" t="s">
        <v>767</v>
      </c>
      <c r="AR103" t="s">
        <v>767</v>
      </c>
      <c r="AS103" t="s">
        <v>767</v>
      </c>
      <c r="AZ103">
        <v>0</v>
      </c>
      <c r="BA103" t="s">
        <v>1859</v>
      </c>
      <c r="BB103" t="s">
        <v>1396</v>
      </c>
      <c r="BC103" t="s">
        <v>1858</v>
      </c>
      <c r="BD103" t="s">
        <v>2055</v>
      </c>
      <c r="BE103" s="330">
        <v>43138.478460648148</v>
      </c>
      <c r="BH103" t="str">
        <f>VLOOKUP(B:B,výpočty!$Z$246:$Z$515,1,FALSE)</f>
        <v>R84093</v>
      </c>
    </row>
    <row r="104" spans="1:60" x14ac:dyDescent="0.25">
      <c r="A104">
        <v>112002</v>
      </c>
      <c r="B104" t="s">
        <v>552</v>
      </c>
      <c r="C104" t="s">
        <v>849</v>
      </c>
      <c r="F104">
        <v>0</v>
      </c>
      <c r="G104">
        <v>222</v>
      </c>
      <c r="H104">
        <v>0</v>
      </c>
      <c r="I104">
        <v>0</v>
      </c>
      <c r="J104" t="s">
        <v>1727</v>
      </c>
      <c r="L104">
        <v>1</v>
      </c>
      <c r="M104">
        <v>1</v>
      </c>
      <c r="N104">
        <v>1</v>
      </c>
      <c r="O104">
        <v>0</v>
      </c>
      <c r="R104">
        <v>0</v>
      </c>
      <c r="U104">
        <v>1</v>
      </c>
      <c r="V104">
        <v>0.36</v>
      </c>
      <c r="W104">
        <v>0.02</v>
      </c>
      <c r="X104">
        <v>0.111</v>
      </c>
      <c r="Y104">
        <v>0</v>
      </c>
      <c r="Z104" t="s">
        <v>767</v>
      </c>
      <c r="AA104">
        <v>20</v>
      </c>
      <c r="AB104">
        <v>0.1</v>
      </c>
      <c r="AC104">
        <v>1</v>
      </c>
      <c r="AD104">
        <v>0</v>
      </c>
      <c r="AE104">
        <v>151.18984</v>
      </c>
      <c r="AF104">
        <v>182.93970999999999</v>
      </c>
      <c r="AG104">
        <v>5.7439999999999998</v>
      </c>
      <c r="AH104">
        <v>6.8928000000000003</v>
      </c>
      <c r="AI104">
        <v>29.405049999999999</v>
      </c>
      <c r="AJ104" s="329">
        <v>1699.93454</v>
      </c>
      <c r="AL104">
        <v>0</v>
      </c>
      <c r="AQ104" t="s">
        <v>767</v>
      </c>
      <c r="AR104" t="s">
        <v>767</v>
      </c>
      <c r="AS104" t="s">
        <v>767</v>
      </c>
      <c r="AZ104">
        <v>0</v>
      </c>
      <c r="BA104" t="s">
        <v>1742</v>
      </c>
      <c r="BB104" t="s">
        <v>1397</v>
      </c>
      <c r="BC104" t="s">
        <v>850</v>
      </c>
      <c r="BD104" t="s">
        <v>2055</v>
      </c>
      <c r="BE104" s="330">
        <v>43138.478472222225</v>
      </c>
      <c r="BH104" t="str">
        <f>VLOOKUP(B:B,výpočty!$Z$246:$Z$515,1,FALSE)</f>
        <v>R84094</v>
      </c>
    </row>
    <row r="105" spans="1:60" x14ac:dyDescent="0.25">
      <c r="A105">
        <v>112002</v>
      </c>
      <c r="B105" t="s">
        <v>553</v>
      </c>
      <c r="C105" t="s">
        <v>854</v>
      </c>
      <c r="F105">
        <v>0</v>
      </c>
      <c r="G105">
        <v>222</v>
      </c>
      <c r="H105">
        <v>0</v>
      </c>
      <c r="I105">
        <v>0</v>
      </c>
      <c r="J105" t="s">
        <v>1727</v>
      </c>
      <c r="L105">
        <v>1</v>
      </c>
      <c r="M105">
        <v>1</v>
      </c>
      <c r="N105">
        <v>1</v>
      </c>
      <c r="O105">
        <v>0</v>
      </c>
      <c r="R105">
        <v>0</v>
      </c>
      <c r="U105">
        <v>1</v>
      </c>
      <c r="V105">
        <v>0.36</v>
      </c>
      <c r="W105">
        <v>0.02</v>
      </c>
      <c r="X105">
        <v>0.111</v>
      </c>
      <c r="Y105">
        <v>0</v>
      </c>
      <c r="Z105" t="s">
        <v>767</v>
      </c>
      <c r="AA105">
        <v>20</v>
      </c>
      <c r="AB105">
        <v>0.1</v>
      </c>
      <c r="AC105">
        <v>1</v>
      </c>
      <c r="AD105">
        <v>0</v>
      </c>
      <c r="AE105">
        <v>211.46278000000001</v>
      </c>
      <c r="AF105">
        <v>255.86995999999999</v>
      </c>
      <c r="AG105">
        <v>8.0338799999999999</v>
      </c>
      <c r="AH105">
        <v>9.6406600000000005</v>
      </c>
      <c r="AI105">
        <v>41.127569999999999</v>
      </c>
      <c r="AJ105" s="329">
        <v>2377.6258899999998</v>
      </c>
      <c r="AL105">
        <v>0</v>
      </c>
      <c r="AQ105" t="s">
        <v>767</v>
      </c>
      <c r="AR105" t="s">
        <v>767</v>
      </c>
      <c r="AS105" t="s">
        <v>767</v>
      </c>
      <c r="AZ105">
        <v>0</v>
      </c>
      <c r="BA105" t="s">
        <v>856</v>
      </c>
      <c r="BB105" t="s">
        <v>1399</v>
      </c>
      <c r="BC105" t="s">
        <v>855</v>
      </c>
      <c r="BD105" t="s">
        <v>2055</v>
      </c>
      <c r="BE105" s="330">
        <v>43138.470381944448</v>
      </c>
      <c r="BH105" t="str">
        <f>VLOOKUP(B:B,výpočty!$Z$246:$Z$515,1,FALSE)</f>
        <v>R84096</v>
      </c>
    </row>
    <row r="106" spans="1:60" x14ac:dyDescent="0.25">
      <c r="A106">
        <v>112002</v>
      </c>
      <c r="B106" t="s">
        <v>557</v>
      </c>
      <c r="C106" t="s">
        <v>1162</v>
      </c>
      <c r="F106">
        <v>0</v>
      </c>
      <c r="G106">
        <v>222</v>
      </c>
      <c r="H106">
        <v>0</v>
      </c>
      <c r="I106">
        <v>0</v>
      </c>
      <c r="J106" t="s">
        <v>1727</v>
      </c>
      <c r="L106">
        <v>1</v>
      </c>
      <c r="M106">
        <v>1</v>
      </c>
      <c r="N106">
        <v>1</v>
      </c>
      <c r="O106">
        <v>0</v>
      </c>
      <c r="R106">
        <v>0</v>
      </c>
      <c r="U106">
        <v>1</v>
      </c>
      <c r="V106">
        <v>0.14399999999999999</v>
      </c>
      <c r="W106">
        <v>8.0000000000000002E-3</v>
      </c>
      <c r="X106">
        <v>0.111</v>
      </c>
      <c r="Y106">
        <v>0</v>
      </c>
      <c r="Z106" t="s">
        <v>767</v>
      </c>
      <c r="AA106">
        <v>20</v>
      </c>
      <c r="AB106">
        <v>0.1</v>
      </c>
      <c r="AC106">
        <v>1</v>
      </c>
      <c r="AD106">
        <v>0</v>
      </c>
      <c r="AE106">
        <v>211.46278000000001</v>
      </c>
      <c r="AF106">
        <v>255.86995999999999</v>
      </c>
      <c r="AG106">
        <v>8.0338799999999999</v>
      </c>
      <c r="AH106">
        <v>9.6406600000000005</v>
      </c>
      <c r="AI106">
        <v>41.127569999999999</v>
      </c>
      <c r="AJ106" s="329">
        <v>2377.6258899999998</v>
      </c>
      <c r="AL106">
        <v>0</v>
      </c>
      <c r="AQ106" t="s">
        <v>767</v>
      </c>
      <c r="AR106" t="s">
        <v>767</v>
      </c>
      <c r="AS106" t="s">
        <v>767</v>
      </c>
      <c r="AZ106">
        <v>0</v>
      </c>
      <c r="BA106" t="s">
        <v>1164</v>
      </c>
      <c r="BB106" t="s">
        <v>1512</v>
      </c>
      <c r="BC106" t="s">
        <v>1163</v>
      </c>
      <c r="BD106" t="s">
        <v>2055</v>
      </c>
      <c r="BE106" s="330">
        <v>43138.469282407408</v>
      </c>
      <c r="BH106" t="str">
        <f>VLOOKUP(B:B,výpočty!$Z$246:$Z$515,1,FALSE)</f>
        <v>R96940</v>
      </c>
    </row>
    <row r="107" spans="1:60" x14ac:dyDescent="0.25">
      <c r="A107">
        <v>112002</v>
      </c>
      <c r="B107" t="s">
        <v>536</v>
      </c>
      <c r="C107" t="s">
        <v>815</v>
      </c>
      <c r="F107">
        <v>0</v>
      </c>
      <c r="G107">
        <v>222</v>
      </c>
      <c r="H107">
        <v>0</v>
      </c>
      <c r="I107">
        <v>0</v>
      </c>
      <c r="J107" t="s">
        <v>1727</v>
      </c>
      <c r="L107">
        <v>1</v>
      </c>
      <c r="M107">
        <v>1</v>
      </c>
      <c r="N107">
        <v>1</v>
      </c>
      <c r="O107">
        <v>0</v>
      </c>
      <c r="R107">
        <v>0</v>
      </c>
      <c r="U107">
        <v>1</v>
      </c>
      <c r="V107">
        <v>0.45500000000000002</v>
      </c>
      <c r="W107">
        <v>0</v>
      </c>
      <c r="X107">
        <v>0.17399999999999999</v>
      </c>
      <c r="Y107">
        <v>0</v>
      </c>
      <c r="Z107" t="s">
        <v>767</v>
      </c>
      <c r="AA107">
        <v>220</v>
      </c>
      <c r="AB107">
        <v>2.5</v>
      </c>
      <c r="AC107">
        <v>1</v>
      </c>
      <c r="AD107">
        <v>0</v>
      </c>
      <c r="AE107">
        <v>75.598600000000005</v>
      </c>
      <c r="AF107">
        <v>91.474310000000003</v>
      </c>
      <c r="AG107">
        <v>2.8721299999999998</v>
      </c>
      <c r="AH107">
        <v>3.4465599999999998</v>
      </c>
      <c r="AI107">
        <v>14.703239999999999</v>
      </c>
      <c r="AJ107">
        <v>850.00860999999998</v>
      </c>
      <c r="AL107">
        <v>0</v>
      </c>
      <c r="AQ107" t="s">
        <v>767</v>
      </c>
      <c r="AR107" t="s">
        <v>767</v>
      </c>
      <c r="AS107" t="s">
        <v>767</v>
      </c>
      <c r="AZ107">
        <v>0</v>
      </c>
      <c r="BA107" t="s">
        <v>817</v>
      </c>
      <c r="BB107" t="s">
        <v>1385</v>
      </c>
      <c r="BC107" t="s">
        <v>816</v>
      </c>
      <c r="BD107" t="s">
        <v>2055</v>
      </c>
      <c r="BE107" s="330">
        <v>43138.470173611109</v>
      </c>
      <c r="BH107" t="str">
        <f>VLOOKUP(B:B,výpočty!$Z$246:$Z$515,1,FALSE)</f>
        <v>R80202</v>
      </c>
    </row>
    <row r="108" spans="1:60" x14ac:dyDescent="0.25">
      <c r="A108">
        <v>112002</v>
      </c>
      <c r="B108" t="s">
        <v>535</v>
      </c>
      <c r="C108" t="s">
        <v>818</v>
      </c>
      <c r="F108">
        <v>0</v>
      </c>
      <c r="G108">
        <v>222</v>
      </c>
      <c r="H108">
        <v>0</v>
      </c>
      <c r="I108">
        <v>0</v>
      </c>
      <c r="J108" t="s">
        <v>1727</v>
      </c>
      <c r="L108">
        <v>1</v>
      </c>
      <c r="M108">
        <v>1</v>
      </c>
      <c r="N108">
        <v>1</v>
      </c>
      <c r="O108">
        <v>0</v>
      </c>
      <c r="R108">
        <v>0</v>
      </c>
      <c r="U108">
        <v>1</v>
      </c>
      <c r="V108">
        <v>0.45500000000000002</v>
      </c>
      <c r="W108">
        <v>0</v>
      </c>
      <c r="X108">
        <v>0.17399999999999999</v>
      </c>
      <c r="Y108">
        <v>0</v>
      </c>
      <c r="Z108" t="s">
        <v>767</v>
      </c>
      <c r="AA108">
        <v>220</v>
      </c>
      <c r="AB108">
        <v>2.5</v>
      </c>
      <c r="AC108">
        <v>1</v>
      </c>
      <c r="AD108">
        <v>0</v>
      </c>
      <c r="AE108">
        <v>75.598600000000005</v>
      </c>
      <c r="AF108">
        <v>91.474310000000003</v>
      </c>
      <c r="AG108">
        <v>2.8721299999999998</v>
      </c>
      <c r="AH108">
        <v>3.4465599999999998</v>
      </c>
      <c r="AI108">
        <v>14.703239999999999</v>
      </c>
      <c r="AJ108">
        <v>850.00860999999998</v>
      </c>
      <c r="AL108">
        <v>0</v>
      </c>
      <c r="AQ108" t="s">
        <v>767</v>
      </c>
      <c r="AR108" t="s">
        <v>767</v>
      </c>
      <c r="AS108" t="s">
        <v>767</v>
      </c>
      <c r="AZ108">
        <v>0</v>
      </c>
      <c r="BA108" t="s">
        <v>820</v>
      </c>
      <c r="BB108" t="s">
        <v>1386</v>
      </c>
      <c r="BC108" t="s">
        <v>819</v>
      </c>
      <c r="BD108" t="s">
        <v>2055</v>
      </c>
      <c r="BE108" s="330">
        <v>43138.470173611109</v>
      </c>
      <c r="BH108" t="str">
        <f>VLOOKUP(B:B,výpočty!$Z$246:$Z$515,1,FALSE)</f>
        <v>R84080</v>
      </c>
    </row>
    <row r="109" spans="1:60" x14ac:dyDescent="0.25">
      <c r="A109">
        <v>112002</v>
      </c>
      <c r="B109" t="s">
        <v>534</v>
      </c>
      <c r="C109" t="s">
        <v>883</v>
      </c>
      <c r="F109">
        <v>0</v>
      </c>
      <c r="G109">
        <v>222</v>
      </c>
      <c r="H109">
        <v>0</v>
      </c>
      <c r="I109">
        <v>0</v>
      </c>
      <c r="J109" t="s">
        <v>1727</v>
      </c>
      <c r="L109">
        <v>1</v>
      </c>
      <c r="M109">
        <v>1</v>
      </c>
      <c r="N109">
        <v>1</v>
      </c>
      <c r="O109">
        <v>0</v>
      </c>
      <c r="R109">
        <v>0</v>
      </c>
      <c r="U109">
        <v>1</v>
      </c>
      <c r="V109">
        <v>0.45500000000000002</v>
      </c>
      <c r="W109">
        <v>0</v>
      </c>
      <c r="X109">
        <v>0.17399999999999999</v>
      </c>
      <c r="Y109">
        <v>0</v>
      </c>
      <c r="Z109" t="s">
        <v>767</v>
      </c>
      <c r="AA109">
        <v>220</v>
      </c>
      <c r="AB109">
        <v>2.5</v>
      </c>
      <c r="AC109">
        <v>1</v>
      </c>
      <c r="AD109">
        <v>0</v>
      </c>
      <c r="AE109">
        <v>69.119100000000003</v>
      </c>
      <c r="AF109">
        <v>83.634110000000007</v>
      </c>
      <c r="AG109">
        <v>2.6259700000000001</v>
      </c>
      <c r="AH109">
        <v>3.15116</v>
      </c>
      <c r="AI109">
        <v>13.44303</v>
      </c>
      <c r="AJ109">
        <v>777.15490999999997</v>
      </c>
      <c r="AL109">
        <v>0</v>
      </c>
      <c r="AQ109" t="s">
        <v>767</v>
      </c>
      <c r="AR109" t="s">
        <v>767</v>
      </c>
      <c r="AS109" t="s">
        <v>767</v>
      </c>
      <c r="AZ109">
        <v>0</v>
      </c>
      <c r="BA109" t="s">
        <v>884</v>
      </c>
      <c r="BB109" t="s">
        <v>1411</v>
      </c>
      <c r="BC109" t="s">
        <v>883</v>
      </c>
      <c r="BD109" t="s">
        <v>2055</v>
      </c>
      <c r="BE109" s="330">
        <v>43138.478263888886</v>
      </c>
      <c r="BH109" t="str">
        <f>VLOOKUP(B:B,výpočty!$Z$246:$Z$515,1,FALSE)</f>
        <v>R88265</v>
      </c>
    </row>
    <row r="110" spans="1:60" x14ac:dyDescent="0.25">
      <c r="A110">
        <v>112002</v>
      </c>
      <c r="B110" t="s">
        <v>533</v>
      </c>
      <c r="C110" t="s">
        <v>873</v>
      </c>
      <c r="F110">
        <v>0</v>
      </c>
      <c r="G110">
        <v>222</v>
      </c>
      <c r="H110">
        <v>0</v>
      </c>
      <c r="I110">
        <v>0</v>
      </c>
      <c r="J110" t="s">
        <v>1727</v>
      </c>
      <c r="L110">
        <v>1</v>
      </c>
      <c r="M110">
        <v>1</v>
      </c>
      <c r="N110">
        <v>1</v>
      </c>
      <c r="O110">
        <v>0</v>
      </c>
      <c r="R110">
        <v>0</v>
      </c>
      <c r="U110">
        <v>1</v>
      </c>
      <c r="V110">
        <v>0.45500000000000002</v>
      </c>
      <c r="W110">
        <v>0</v>
      </c>
      <c r="X110">
        <v>0.17399999999999999</v>
      </c>
      <c r="Y110">
        <v>0</v>
      </c>
      <c r="Z110" t="s">
        <v>767</v>
      </c>
      <c r="AA110">
        <v>220</v>
      </c>
      <c r="AB110">
        <v>2.5</v>
      </c>
      <c r="AC110">
        <v>1</v>
      </c>
      <c r="AD110">
        <v>0</v>
      </c>
      <c r="AE110">
        <v>75.598600000000005</v>
      </c>
      <c r="AF110">
        <v>91.474310000000003</v>
      </c>
      <c r="AG110">
        <v>2.8721299999999998</v>
      </c>
      <c r="AH110">
        <v>3.4465599999999998</v>
      </c>
      <c r="AI110">
        <v>14.703239999999999</v>
      </c>
      <c r="AJ110" s="329">
        <v>850.00860999999998</v>
      </c>
      <c r="AL110">
        <v>0</v>
      </c>
      <c r="AQ110" t="s">
        <v>767</v>
      </c>
      <c r="AR110" t="s">
        <v>767</v>
      </c>
      <c r="AS110" t="s">
        <v>767</v>
      </c>
      <c r="AZ110">
        <v>0</v>
      </c>
      <c r="BA110" t="s">
        <v>874</v>
      </c>
      <c r="BB110" t="s">
        <v>1407</v>
      </c>
      <c r="BC110" t="s">
        <v>873</v>
      </c>
      <c r="BD110" t="s">
        <v>2055</v>
      </c>
      <c r="BE110" s="330">
        <v>43138.469050925924</v>
      </c>
      <c r="BH110" t="str">
        <f>VLOOKUP(B:B,výpočty!$Z$246:$Z$515,1,FALSE)</f>
        <v>R88226</v>
      </c>
    </row>
    <row r="111" spans="1:60" x14ac:dyDescent="0.25">
      <c r="A111">
        <v>112002</v>
      </c>
      <c r="B111" t="s">
        <v>532</v>
      </c>
      <c r="C111" t="s">
        <v>803</v>
      </c>
      <c r="F111">
        <v>0</v>
      </c>
      <c r="G111">
        <v>222</v>
      </c>
      <c r="H111">
        <v>0</v>
      </c>
      <c r="I111">
        <v>0</v>
      </c>
      <c r="J111" t="s">
        <v>1727</v>
      </c>
      <c r="L111">
        <v>1</v>
      </c>
      <c r="M111">
        <v>1</v>
      </c>
      <c r="N111">
        <v>1</v>
      </c>
      <c r="O111">
        <v>0</v>
      </c>
      <c r="R111">
        <v>0</v>
      </c>
      <c r="U111">
        <v>1</v>
      </c>
      <c r="V111">
        <v>0.45500000000000002</v>
      </c>
      <c r="W111">
        <v>0</v>
      </c>
      <c r="X111">
        <v>0.17399999999999999</v>
      </c>
      <c r="Y111">
        <v>0</v>
      </c>
      <c r="Z111" t="s">
        <v>767</v>
      </c>
      <c r="AA111">
        <v>220</v>
      </c>
      <c r="AB111">
        <v>2.5</v>
      </c>
      <c r="AC111">
        <v>1</v>
      </c>
      <c r="AD111">
        <v>1</v>
      </c>
      <c r="AE111">
        <v>75.598600000000005</v>
      </c>
      <c r="AF111">
        <v>91.474310000000003</v>
      </c>
      <c r="AG111">
        <v>2.8721299999999998</v>
      </c>
      <c r="AH111">
        <v>3.4465599999999998</v>
      </c>
      <c r="AI111">
        <v>14.703239999999999</v>
      </c>
      <c r="AJ111" s="329">
        <v>850.00860999999998</v>
      </c>
      <c r="AL111">
        <v>0</v>
      </c>
      <c r="AQ111" t="s">
        <v>767</v>
      </c>
      <c r="AR111" t="s">
        <v>767</v>
      </c>
      <c r="AS111" t="s">
        <v>767</v>
      </c>
      <c r="AZ111">
        <v>0</v>
      </c>
      <c r="BA111" t="s">
        <v>804</v>
      </c>
      <c r="BB111" t="s">
        <v>1381</v>
      </c>
      <c r="BC111" t="s">
        <v>803</v>
      </c>
      <c r="BD111" t="s">
        <v>2055</v>
      </c>
      <c r="BE111" s="330">
        <v>43138.478275462963</v>
      </c>
      <c r="BH111" t="str">
        <f>VLOOKUP(B:B,výpočty!$Z$246:$Z$515,1,FALSE)</f>
        <v>R77011</v>
      </c>
    </row>
    <row r="112" spans="1:60" x14ac:dyDescent="0.25">
      <c r="A112">
        <v>112002</v>
      </c>
      <c r="B112" t="s">
        <v>531</v>
      </c>
      <c r="C112" t="s">
        <v>899</v>
      </c>
      <c r="F112">
        <v>0</v>
      </c>
      <c r="G112">
        <v>222</v>
      </c>
      <c r="H112">
        <v>0</v>
      </c>
      <c r="I112">
        <v>0</v>
      </c>
      <c r="J112" t="s">
        <v>1727</v>
      </c>
      <c r="L112">
        <v>1</v>
      </c>
      <c r="M112">
        <v>1</v>
      </c>
      <c r="N112">
        <v>1</v>
      </c>
      <c r="O112">
        <v>0</v>
      </c>
      <c r="R112">
        <v>0</v>
      </c>
      <c r="U112">
        <v>1</v>
      </c>
      <c r="V112">
        <v>0.45500000000000002</v>
      </c>
      <c r="W112">
        <v>0</v>
      </c>
      <c r="X112">
        <v>0.17399999999999999</v>
      </c>
      <c r="Y112">
        <v>0</v>
      </c>
      <c r="Z112" t="s">
        <v>767</v>
      </c>
      <c r="AA112">
        <v>220</v>
      </c>
      <c r="AB112">
        <v>2.5</v>
      </c>
      <c r="AC112">
        <v>1</v>
      </c>
      <c r="AD112">
        <v>1</v>
      </c>
      <c r="AE112">
        <v>69.119100000000003</v>
      </c>
      <c r="AF112">
        <v>83.634110000000007</v>
      </c>
      <c r="AG112">
        <v>2.6259700000000001</v>
      </c>
      <c r="AH112">
        <v>3.15116</v>
      </c>
      <c r="AI112">
        <v>13.44303</v>
      </c>
      <c r="AJ112">
        <v>777.15490999999997</v>
      </c>
      <c r="AL112">
        <v>0</v>
      </c>
      <c r="AQ112" t="s">
        <v>767</v>
      </c>
      <c r="AR112" t="s">
        <v>767</v>
      </c>
      <c r="AS112" t="s">
        <v>767</v>
      </c>
      <c r="AZ112">
        <v>0</v>
      </c>
      <c r="BA112" t="s">
        <v>901</v>
      </c>
      <c r="BB112" t="s">
        <v>1417</v>
      </c>
      <c r="BC112" t="s">
        <v>900</v>
      </c>
      <c r="BD112" t="s">
        <v>2055</v>
      </c>
      <c r="BE112" s="330">
        <v>43138.478252314817</v>
      </c>
      <c r="BH112" t="str">
        <f>VLOOKUP(B:B,výpočty!$Z$246:$Z$515,1,FALSE)</f>
        <v>R88309</v>
      </c>
    </row>
    <row r="113" spans="1:60" x14ac:dyDescent="0.25">
      <c r="A113">
        <v>112002</v>
      </c>
      <c r="B113" t="s">
        <v>530</v>
      </c>
      <c r="C113" t="s">
        <v>821</v>
      </c>
      <c r="F113">
        <v>0</v>
      </c>
      <c r="G113">
        <v>222</v>
      </c>
      <c r="H113">
        <v>0</v>
      </c>
      <c r="I113">
        <v>0</v>
      </c>
      <c r="J113" t="s">
        <v>1727</v>
      </c>
      <c r="L113">
        <v>1</v>
      </c>
      <c r="M113">
        <v>1</v>
      </c>
      <c r="N113">
        <v>1</v>
      </c>
      <c r="O113">
        <v>0</v>
      </c>
      <c r="R113">
        <v>0</v>
      </c>
      <c r="U113">
        <v>1</v>
      </c>
      <c r="V113">
        <v>0.45500000000000002</v>
      </c>
      <c r="W113">
        <v>0</v>
      </c>
      <c r="X113">
        <v>0.17399999999999999</v>
      </c>
      <c r="Y113">
        <v>0</v>
      </c>
      <c r="Z113" t="s">
        <v>767</v>
      </c>
      <c r="AA113">
        <v>220</v>
      </c>
      <c r="AB113">
        <v>2.5</v>
      </c>
      <c r="AC113">
        <v>1</v>
      </c>
      <c r="AD113">
        <v>0</v>
      </c>
      <c r="AE113">
        <v>75.598600000000005</v>
      </c>
      <c r="AF113">
        <v>91.474310000000003</v>
      </c>
      <c r="AG113">
        <v>2.8721299999999998</v>
      </c>
      <c r="AH113">
        <v>3.4465599999999998</v>
      </c>
      <c r="AI113">
        <v>14.703239999999999</v>
      </c>
      <c r="AJ113">
        <v>850.00860999999998</v>
      </c>
      <c r="AL113">
        <v>0</v>
      </c>
      <c r="AQ113" t="s">
        <v>767</v>
      </c>
      <c r="AR113" t="s">
        <v>767</v>
      </c>
      <c r="AS113" t="s">
        <v>767</v>
      </c>
      <c r="AZ113">
        <v>0</v>
      </c>
      <c r="BA113" t="s">
        <v>823</v>
      </c>
      <c r="BB113" t="s">
        <v>1387</v>
      </c>
      <c r="BC113" t="s">
        <v>822</v>
      </c>
      <c r="BD113" t="s">
        <v>2055</v>
      </c>
      <c r="BE113" s="330">
        <v>43138.471365740741</v>
      </c>
      <c r="BH113" t="str">
        <f>VLOOKUP(B:B,výpočty!$Z$246:$Z$515,1,FALSE)</f>
        <v>R84081</v>
      </c>
    </row>
    <row r="114" spans="1:60" x14ac:dyDescent="0.25">
      <c r="A114">
        <v>112002</v>
      </c>
      <c r="B114" t="s">
        <v>529</v>
      </c>
      <c r="C114" t="s">
        <v>859</v>
      </c>
      <c r="F114">
        <v>0</v>
      </c>
      <c r="G114">
        <v>222</v>
      </c>
      <c r="H114">
        <v>0</v>
      </c>
      <c r="I114">
        <v>0</v>
      </c>
      <c r="J114" t="s">
        <v>1727</v>
      </c>
      <c r="L114">
        <v>1</v>
      </c>
      <c r="M114">
        <v>1</v>
      </c>
      <c r="N114">
        <v>1</v>
      </c>
      <c r="O114">
        <v>0</v>
      </c>
      <c r="R114">
        <v>0</v>
      </c>
      <c r="U114">
        <v>1</v>
      </c>
      <c r="V114">
        <v>0.45500000000000002</v>
      </c>
      <c r="W114">
        <v>0</v>
      </c>
      <c r="X114">
        <v>0.17399999999999999</v>
      </c>
      <c r="Y114">
        <v>0</v>
      </c>
      <c r="Z114" t="s">
        <v>767</v>
      </c>
      <c r="AA114">
        <v>220</v>
      </c>
      <c r="AB114">
        <v>2.5</v>
      </c>
      <c r="AC114">
        <v>1</v>
      </c>
      <c r="AD114">
        <v>0</v>
      </c>
      <c r="AE114">
        <v>75.598600000000005</v>
      </c>
      <c r="AF114">
        <v>91.474310000000003</v>
      </c>
      <c r="AG114">
        <v>2.8721299999999998</v>
      </c>
      <c r="AH114">
        <v>3.4465599999999998</v>
      </c>
      <c r="AI114">
        <v>14.703239999999999</v>
      </c>
      <c r="AJ114" s="329">
        <v>850.00860999999998</v>
      </c>
      <c r="AL114">
        <v>0</v>
      </c>
      <c r="AQ114" t="s">
        <v>767</v>
      </c>
      <c r="AR114" t="s">
        <v>767</v>
      </c>
      <c r="AS114" t="s">
        <v>767</v>
      </c>
      <c r="AT114">
        <v>600052400023</v>
      </c>
      <c r="AU114" t="s">
        <v>2115</v>
      </c>
      <c r="AZ114">
        <v>0</v>
      </c>
      <c r="BA114" t="s">
        <v>860</v>
      </c>
      <c r="BB114" t="s">
        <v>1401</v>
      </c>
      <c r="BC114" t="s">
        <v>859</v>
      </c>
      <c r="BD114" t="s">
        <v>2055</v>
      </c>
      <c r="BE114" s="330">
        <v>43138.47016203704</v>
      </c>
      <c r="BH114" t="str">
        <f>VLOOKUP(B:B,výpočty!$Z$246:$Z$515,1,FALSE)</f>
        <v>R88197</v>
      </c>
    </row>
    <row r="115" spans="1:60" x14ac:dyDescent="0.25">
      <c r="A115">
        <v>112002</v>
      </c>
      <c r="B115" t="s">
        <v>528</v>
      </c>
      <c r="C115" t="s">
        <v>1000</v>
      </c>
      <c r="F115">
        <v>0</v>
      </c>
      <c r="G115">
        <v>222</v>
      </c>
      <c r="H115">
        <v>0</v>
      </c>
      <c r="I115">
        <v>0</v>
      </c>
      <c r="J115" t="s">
        <v>1727</v>
      </c>
      <c r="L115">
        <v>1</v>
      </c>
      <c r="M115">
        <v>1</v>
      </c>
      <c r="N115">
        <v>1</v>
      </c>
      <c r="O115">
        <v>0</v>
      </c>
      <c r="R115">
        <v>0</v>
      </c>
      <c r="U115">
        <v>1</v>
      </c>
      <c r="V115">
        <v>0.45500000000000002</v>
      </c>
      <c r="W115">
        <v>0</v>
      </c>
      <c r="X115">
        <v>0.17399999999999999</v>
      </c>
      <c r="Y115">
        <v>0</v>
      </c>
      <c r="Z115" t="s">
        <v>767</v>
      </c>
      <c r="AA115">
        <v>220</v>
      </c>
      <c r="AB115">
        <v>2.5</v>
      </c>
      <c r="AC115">
        <v>1</v>
      </c>
      <c r="AD115">
        <v>0</v>
      </c>
      <c r="AE115">
        <v>75.598600000000005</v>
      </c>
      <c r="AF115">
        <v>91.474310000000003</v>
      </c>
      <c r="AG115">
        <v>2.8721299999999998</v>
      </c>
      <c r="AH115">
        <v>3.4465599999999998</v>
      </c>
      <c r="AI115">
        <v>14.703239999999999</v>
      </c>
      <c r="AJ115" s="329">
        <v>850.00860999999998</v>
      </c>
      <c r="AL115">
        <v>0</v>
      </c>
      <c r="AQ115" t="s">
        <v>767</v>
      </c>
      <c r="AR115" t="s">
        <v>767</v>
      </c>
      <c r="AS115" t="s">
        <v>767</v>
      </c>
      <c r="AZ115">
        <v>0</v>
      </c>
      <c r="BA115" t="s">
        <v>1002</v>
      </c>
      <c r="BB115" t="s">
        <v>1448</v>
      </c>
      <c r="BC115" t="s">
        <v>1001</v>
      </c>
      <c r="BD115" t="s">
        <v>2055</v>
      </c>
      <c r="BE115" s="330">
        <v>43138.4690625</v>
      </c>
      <c r="BH115" t="str">
        <f>VLOOKUP(B:B,výpočty!$Z$246:$Z$515,1,FALSE)</f>
        <v>R92856</v>
      </c>
    </row>
    <row r="116" spans="1:60" x14ac:dyDescent="0.25">
      <c r="A116">
        <v>112002</v>
      </c>
      <c r="B116" t="s">
        <v>527</v>
      </c>
      <c r="C116" t="s">
        <v>952</v>
      </c>
      <c r="F116">
        <v>0</v>
      </c>
      <c r="G116">
        <v>222</v>
      </c>
      <c r="H116">
        <v>0</v>
      </c>
      <c r="I116">
        <v>0</v>
      </c>
      <c r="J116" t="s">
        <v>1727</v>
      </c>
      <c r="L116">
        <v>1</v>
      </c>
      <c r="M116">
        <v>1</v>
      </c>
      <c r="N116">
        <v>1</v>
      </c>
      <c r="O116">
        <v>0</v>
      </c>
      <c r="R116">
        <v>0</v>
      </c>
      <c r="U116">
        <v>1</v>
      </c>
      <c r="V116">
        <v>0.45500000000000002</v>
      </c>
      <c r="W116">
        <v>0</v>
      </c>
      <c r="X116">
        <v>0.17399999999999999</v>
      </c>
      <c r="Y116">
        <v>0</v>
      </c>
      <c r="Z116" t="s">
        <v>767</v>
      </c>
      <c r="AA116">
        <v>220</v>
      </c>
      <c r="AB116">
        <v>2.5</v>
      </c>
      <c r="AC116">
        <v>1</v>
      </c>
      <c r="AD116">
        <v>1</v>
      </c>
      <c r="AE116">
        <v>69.119100000000003</v>
      </c>
      <c r="AF116">
        <v>83.634110000000007</v>
      </c>
      <c r="AG116">
        <v>2.6259700000000001</v>
      </c>
      <c r="AH116">
        <v>3.15116</v>
      </c>
      <c r="AI116">
        <v>13.44303</v>
      </c>
      <c r="AJ116">
        <v>777.15490999999997</v>
      </c>
      <c r="AL116">
        <v>0</v>
      </c>
      <c r="AQ116" t="s">
        <v>767</v>
      </c>
      <c r="AR116" t="s">
        <v>767</v>
      </c>
      <c r="AS116" t="s">
        <v>767</v>
      </c>
      <c r="AZ116">
        <v>0</v>
      </c>
      <c r="BA116" t="s">
        <v>954</v>
      </c>
      <c r="BB116" t="s">
        <v>1435</v>
      </c>
      <c r="BC116" t="s">
        <v>953</v>
      </c>
      <c r="BD116" t="s">
        <v>2055</v>
      </c>
      <c r="BE116" s="330">
        <v>43138.478263888886</v>
      </c>
      <c r="BH116" t="str">
        <f>VLOOKUP(B:B,výpočty!$Z$246:$Z$515,1,FALSE)</f>
        <v>R92827</v>
      </c>
    </row>
    <row r="117" spans="1:60" x14ac:dyDescent="0.25">
      <c r="A117">
        <v>112002</v>
      </c>
      <c r="B117" t="s">
        <v>653</v>
      </c>
      <c r="C117" t="s">
        <v>654</v>
      </c>
      <c r="F117">
        <v>0</v>
      </c>
      <c r="G117">
        <v>222</v>
      </c>
      <c r="H117">
        <v>0</v>
      </c>
      <c r="I117">
        <v>0</v>
      </c>
      <c r="J117" t="s">
        <v>1727</v>
      </c>
      <c r="L117">
        <v>1</v>
      </c>
      <c r="M117">
        <v>1</v>
      </c>
      <c r="N117">
        <v>1</v>
      </c>
      <c r="O117">
        <v>0</v>
      </c>
      <c r="R117">
        <v>0</v>
      </c>
      <c r="U117">
        <v>1</v>
      </c>
      <c r="V117">
        <v>0.23799999999999999</v>
      </c>
      <c r="W117">
        <v>0</v>
      </c>
      <c r="X117">
        <v>0.1</v>
      </c>
      <c r="Y117">
        <v>0</v>
      </c>
      <c r="Z117" t="s">
        <v>767</v>
      </c>
      <c r="AA117">
        <v>420</v>
      </c>
      <c r="AB117">
        <v>2.5</v>
      </c>
      <c r="AC117">
        <v>1</v>
      </c>
      <c r="AD117">
        <v>0</v>
      </c>
      <c r="AE117">
        <v>96.970479999999995</v>
      </c>
      <c r="AF117">
        <v>117.33428000000001</v>
      </c>
      <c r="AG117">
        <v>3.6840999999999999</v>
      </c>
      <c r="AH117">
        <v>4.4209199999999997</v>
      </c>
      <c r="AI117">
        <v>18.859870000000001</v>
      </c>
      <c r="AJ117" s="329">
        <v>1090.30773</v>
      </c>
      <c r="AL117">
        <v>0</v>
      </c>
      <c r="AQ117" t="s">
        <v>767</v>
      </c>
      <c r="AR117" t="s">
        <v>767</v>
      </c>
      <c r="AS117" t="s">
        <v>767</v>
      </c>
      <c r="AZ117">
        <v>0</v>
      </c>
      <c r="BA117" t="s">
        <v>1729</v>
      </c>
      <c r="BB117" t="s">
        <v>1344</v>
      </c>
      <c r="BC117" t="s">
        <v>654</v>
      </c>
      <c r="BD117" t="s">
        <v>2055</v>
      </c>
      <c r="BE117" s="330">
        <v>43138.470185185186</v>
      </c>
      <c r="BH117" t="str">
        <f>VLOOKUP(B:B,výpočty!$Z$246:$Z$515,1,FALSE)</f>
        <v>R00012</v>
      </c>
    </row>
    <row r="118" spans="1:60" x14ac:dyDescent="0.25">
      <c r="A118">
        <v>112002</v>
      </c>
      <c r="B118" t="s">
        <v>651</v>
      </c>
      <c r="C118" t="s">
        <v>652</v>
      </c>
      <c r="F118">
        <v>0</v>
      </c>
      <c r="G118">
        <v>222</v>
      </c>
      <c r="H118">
        <v>0</v>
      </c>
      <c r="I118">
        <v>0</v>
      </c>
      <c r="J118" t="s">
        <v>1727</v>
      </c>
      <c r="L118">
        <v>1</v>
      </c>
      <c r="M118">
        <v>1</v>
      </c>
      <c r="N118">
        <v>1</v>
      </c>
      <c r="O118">
        <v>0</v>
      </c>
      <c r="R118">
        <v>0</v>
      </c>
      <c r="U118">
        <v>1</v>
      </c>
      <c r="V118">
        <v>0.23799999999999999</v>
      </c>
      <c r="W118">
        <v>0</v>
      </c>
      <c r="X118">
        <v>0.1</v>
      </c>
      <c r="Y118">
        <v>0</v>
      </c>
      <c r="Z118" t="s">
        <v>767</v>
      </c>
      <c r="AA118">
        <v>420</v>
      </c>
      <c r="AB118">
        <v>2.5</v>
      </c>
      <c r="AC118">
        <v>1</v>
      </c>
      <c r="AD118">
        <v>1</v>
      </c>
      <c r="AE118">
        <v>90.036730000000006</v>
      </c>
      <c r="AF118">
        <v>108.94444</v>
      </c>
      <c r="AG118">
        <v>3.4206599999999998</v>
      </c>
      <c r="AH118">
        <v>4.1047900000000004</v>
      </c>
      <c r="AI118">
        <v>17.511320000000001</v>
      </c>
      <c r="AJ118" s="329">
        <v>1012.34673</v>
      </c>
      <c r="AL118">
        <v>0</v>
      </c>
      <c r="AQ118" t="s">
        <v>767</v>
      </c>
      <c r="AR118" t="s">
        <v>767</v>
      </c>
      <c r="AS118" t="s">
        <v>767</v>
      </c>
      <c r="AZ118">
        <v>0</v>
      </c>
      <c r="BA118" t="s">
        <v>1728</v>
      </c>
      <c r="BB118" t="s">
        <v>1343</v>
      </c>
      <c r="BC118" t="s">
        <v>652</v>
      </c>
      <c r="BD118" t="s">
        <v>2055</v>
      </c>
      <c r="BE118" s="330">
        <v>43138.469074074077</v>
      </c>
      <c r="BH118" t="str">
        <f>VLOOKUP(B:B,výpočty!$Z$246:$Z$515,1,FALSE)</f>
        <v>R00011</v>
      </c>
    </row>
    <row r="119" spans="1:60" x14ac:dyDescent="0.25">
      <c r="A119">
        <v>112002</v>
      </c>
      <c r="B119" t="s">
        <v>525</v>
      </c>
      <c r="C119" t="s">
        <v>871</v>
      </c>
      <c r="F119">
        <v>0</v>
      </c>
      <c r="G119">
        <v>222</v>
      </c>
      <c r="H119">
        <v>0</v>
      </c>
      <c r="I119">
        <v>0</v>
      </c>
      <c r="J119" t="s">
        <v>1727</v>
      </c>
      <c r="L119">
        <v>1</v>
      </c>
      <c r="M119">
        <v>1</v>
      </c>
      <c r="N119">
        <v>1</v>
      </c>
      <c r="O119">
        <v>0</v>
      </c>
      <c r="R119">
        <v>0</v>
      </c>
      <c r="U119">
        <v>1</v>
      </c>
      <c r="V119">
        <v>0.16700000000000001</v>
      </c>
      <c r="W119">
        <v>0</v>
      </c>
      <c r="X119">
        <v>7.0000000000000007E-2</v>
      </c>
      <c r="Y119">
        <v>0</v>
      </c>
      <c r="Z119" t="s">
        <v>767</v>
      </c>
      <c r="AA119">
        <v>600</v>
      </c>
      <c r="AB119">
        <v>2.5</v>
      </c>
      <c r="AC119">
        <v>1</v>
      </c>
      <c r="AD119">
        <v>1</v>
      </c>
      <c r="AE119">
        <v>74.120469999999997</v>
      </c>
      <c r="AF119">
        <v>89.685770000000005</v>
      </c>
      <c r="AG119">
        <v>2.8159800000000001</v>
      </c>
      <c r="AH119">
        <v>3.3791799999999999</v>
      </c>
      <c r="AI119">
        <v>14.41574</v>
      </c>
      <c r="AJ119" s="329">
        <v>833.38887</v>
      </c>
      <c r="AL119">
        <v>0</v>
      </c>
      <c r="AQ119" t="s">
        <v>767</v>
      </c>
      <c r="AR119" t="s">
        <v>767</v>
      </c>
      <c r="AS119" t="s">
        <v>767</v>
      </c>
      <c r="AZ119">
        <v>0</v>
      </c>
      <c r="BA119" t="s">
        <v>872</v>
      </c>
      <c r="BB119" t="s">
        <v>1406</v>
      </c>
      <c r="BC119" t="s">
        <v>871</v>
      </c>
      <c r="BD119" t="s">
        <v>2055</v>
      </c>
      <c r="BE119" s="330">
        <v>43138.471377314818</v>
      </c>
      <c r="BH119" t="str">
        <f>VLOOKUP(B:B,výpočty!$Z$246:$Z$515,1,FALSE)</f>
        <v>R88218</v>
      </c>
    </row>
    <row r="120" spans="1:60" x14ac:dyDescent="0.25">
      <c r="A120">
        <v>112002</v>
      </c>
      <c r="B120" t="s">
        <v>524</v>
      </c>
      <c r="C120" t="s">
        <v>959</v>
      </c>
      <c r="F120">
        <v>0</v>
      </c>
      <c r="G120">
        <v>222</v>
      </c>
      <c r="H120">
        <v>0</v>
      </c>
      <c r="I120">
        <v>0</v>
      </c>
      <c r="J120" t="s">
        <v>1727</v>
      </c>
      <c r="L120">
        <v>1</v>
      </c>
      <c r="M120">
        <v>1</v>
      </c>
      <c r="N120">
        <v>1</v>
      </c>
      <c r="O120">
        <v>0</v>
      </c>
      <c r="R120">
        <v>0</v>
      </c>
      <c r="U120">
        <v>1</v>
      </c>
      <c r="V120">
        <v>0.16700000000000001</v>
      </c>
      <c r="W120">
        <v>0</v>
      </c>
      <c r="X120">
        <v>7.0000000000000007E-2</v>
      </c>
      <c r="Y120">
        <v>0</v>
      </c>
      <c r="Z120" t="s">
        <v>767</v>
      </c>
      <c r="AA120">
        <v>600</v>
      </c>
      <c r="AB120">
        <v>2.5</v>
      </c>
      <c r="AC120">
        <v>1</v>
      </c>
      <c r="AD120">
        <v>1</v>
      </c>
      <c r="AE120">
        <v>70.824340000000007</v>
      </c>
      <c r="AF120">
        <v>85.697450000000003</v>
      </c>
      <c r="AG120">
        <v>2.69075</v>
      </c>
      <c r="AH120">
        <v>3.2288999999999999</v>
      </c>
      <c r="AI120">
        <v>13.77468</v>
      </c>
      <c r="AJ120" s="329">
        <v>796.32829000000004</v>
      </c>
      <c r="AL120">
        <v>0</v>
      </c>
      <c r="AQ120" t="s">
        <v>767</v>
      </c>
      <c r="AR120" t="s">
        <v>767</v>
      </c>
      <c r="AS120" t="s">
        <v>767</v>
      </c>
      <c r="AZ120">
        <v>0</v>
      </c>
      <c r="BA120" t="s">
        <v>960</v>
      </c>
      <c r="BB120" t="s">
        <v>1438</v>
      </c>
      <c r="BC120" t="s">
        <v>959</v>
      </c>
      <c r="BD120" t="s">
        <v>2055</v>
      </c>
      <c r="BE120" s="330">
        <v>43138.471377314818</v>
      </c>
      <c r="BH120" t="str">
        <f>VLOOKUP(B:B,výpočty!$Z$246:$Z$515,1,FALSE)</f>
        <v>R92834</v>
      </c>
    </row>
    <row r="121" spans="1:60" x14ac:dyDescent="0.25">
      <c r="A121">
        <v>112002</v>
      </c>
      <c r="B121" t="s">
        <v>548</v>
      </c>
      <c r="C121" t="s">
        <v>909</v>
      </c>
      <c r="F121">
        <v>0</v>
      </c>
      <c r="G121">
        <v>222</v>
      </c>
      <c r="H121">
        <v>0</v>
      </c>
      <c r="I121">
        <v>0</v>
      </c>
      <c r="J121" t="s">
        <v>643</v>
      </c>
      <c r="L121">
        <v>1</v>
      </c>
      <c r="M121">
        <v>1</v>
      </c>
      <c r="N121">
        <v>1</v>
      </c>
      <c r="O121">
        <v>0</v>
      </c>
      <c r="R121">
        <v>0</v>
      </c>
      <c r="U121">
        <v>1</v>
      </c>
      <c r="V121">
        <v>0.109</v>
      </c>
      <c r="W121">
        <v>0</v>
      </c>
      <c r="X121">
        <v>7.0000000000000001E-3</v>
      </c>
      <c r="Y121">
        <v>0</v>
      </c>
      <c r="Z121" t="s">
        <v>767</v>
      </c>
      <c r="AA121">
        <v>40</v>
      </c>
      <c r="AB121">
        <v>1</v>
      </c>
      <c r="AC121">
        <v>1</v>
      </c>
      <c r="AD121">
        <v>0</v>
      </c>
      <c r="AE121">
        <v>20.94229</v>
      </c>
      <c r="AF121">
        <v>25.340170000000001</v>
      </c>
      <c r="AG121">
        <v>0.79562999999999995</v>
      </c>
      <c r="AH121">
        <v>0.95476000000000005</v>
      </c>
      <c r="AI121">
        <v>4.07308</v>
      </c>
      <c r="AJ121" s="329">
        <v>235.46906999999999</v>
      </c>
      <c r="AL121">
        <v>0</v>
      </c>
      <c r="AQ121" t="s">
        <v>767</v>
      </c>
      <c r="AR121" t="s">
        <v>767</v>
      </c>
      <c r="AS121" t="s">
        <v>767</v>
      </c>
      <c r="AZ121">
        <v>0</v>
      </c>
      <c r="BA121" t="s">
        <v>911</v>
      </c>
      <c r="BB121" t="s">
        <v>1420</v>
      </c>
      <c r="BC121" t="s">
        <v>910</v>
      </c>
      <c r="BD121" t="s">
        <v>2055</v>
      </c>
      <c r="BE121" s="330">
        <v>43138.474317129629</v>
      </c>
      <c r="BH121" t="str">
        <f>VLOOKUP(B:B,výpočty!$Z$246:$Z$515,1,FALSE)</f>
        <v>R92802</v>
      </c>
    </row>
    <row r="122" spans="1:60" x14ac:dyDescent="0.25">
      <c r="A122">
        <v>112002</v>
      </c>
      <c r="B122" t="s">
        <v>541</v>
      </c>
      <c r="C122" t="s">
        <v>888</v>
      </c>
      <c r="F122">
        <v>0</v>
      </c>
      <c r="G122">
        <v>222</v>
      </c>
      <c r="H122">
        <v>0</v>
      </c>
      <c r="I122">
        <v>0</v>
      </c>
      <c r="J122" t="s">
        <v>643</v>
      </c>
      <c r="L122">
        <v>1</v>
      </c>
      <c r="M122">
        <v>1</v>
      </c>
      <c r="N122">
        <v>1</v>
      </c>
      <c r="O122">
        <v>0</v>
      </c>
      <c r="R122">
        <v>0</v>
      </c>
      <c r="U122">
        <v>1</v>
      </c>
      <c r="V122">
        <v>0.109</v>
      </c>
      <c r="W122">
        <v>0</v>
      </c>
      <c r="X122">
        <v>7.0000000000000001E-3</v>
      </c>
      <c r="Y122">
        <v>0</v>
      </c>
      <c r="Z122" t="s">
        <v>767</v>
      </c>
      <c r="AA122">
        <v>40</v>
      </c>
      <c r="AB122">
        <v>1</v>
      </c>
      <c r="AC122">
        <v>1</v>
      </c>
      <c r="AD122">
        <v>0</v>
      </c>
      <c r="AE122">
        <v>20.94229</v>
      </c>
      <c r="AF122">
        <v>25.340170000000001</v>
      </c>
      <c r="AG122">
        <v>0.79562999999999995</v>
      </c>
      <c r="AH122">
        <v>0.95476000000000005</v>
      </c>
      <c r="AI122">
        <v>4.07308</v>
      </c>
      <c r="AJ122" s="329">
        <v>235.46906999999999</v>
      </c>
      <c r="AL122">
        <v>0</v>
      </c>
      <c r="AQ122" t="s">
        <v>767</v>
      </c>
      <c r="AR122" t="s">
        <v>767</v>
      </c>
      <c r="AS122" t="s">
        <v>767</v>
      </c>
      <c r="AZ122">
        <v>0</v>
      </c>
      <c r="BA122" t="s">
        <v>890</v>
      </c>
      <c r="BB122" t="s">
        <v>1413</v>
      </c>
      <c r="BC122" t="s">
        <v>889</v>
      </c>
      <c r="BD122" t="s">
        <v>2055</v>
      </c>
      <c r="BE122" s="330">
        <v>43138.469189814816</v>
      </c>
      <c r="BH122" t="str">
        <f>VLOOKUP(B:B,výpočty!$Z$246:$Z$515,1,FALSE)</f>
        <v>R88302</v>
      </c>
    </row>
    <row r="123" spans="1:60" x14ac:dyDescent="0.25">
      <c r="A123">
        <v>112002</v>
      </c>
      <c r="B123" t="s">
        <v>544</v>
      </c>
      <c r="C123" t="s">
        <v>915</v>
      </c>
      <c r="F123">
        <v>0</v>
      </c>
      <c r="G123">
        <v>222</v>
      </c>
      <c r="H123">
        <v>0</v>
      </c>
      <c r="I123">
        <v>0</v>
      </c>
      <c r="J123" t="s">
        <v>643</v>
      </c>
      <c r="L123">
        <v>1</v>
      </c>
      <c r="M123">
        <v>1</v>
      </c>
      <c r="N123">
        <v>1</v>
      </c>
      <c r="O123">
        <v>0</v>
      </c>
      <c r="R123">
        <v>0</v>
      </c>
      <c r="U123">
        <v>1</v>
      </c>
      <c r="V123">
        <v>0.109</v>
      </c>
      <c r="W123">
        <v>0</v>
      </c>
      <c r="X123">
        <v>7.0000000000000001E-3</v>
      </c>
      <c r="Y123">
        <v>0</v>
      </c>
      <c r="Z123" t="s">
        <v>767</v>
      </c>
      <c r="AA123">
        <v>40</v>
      </c>
      <c r="AB123">
        <v>1</v>
      </c>
      <c r="AC123">
        <v>1</v>
      </c>
      <c r="AD123">
        <v>0</v>
      </c>
      <c r="AE123">
        <v>20.94229</v>
      </c>
      <c r="AF123">
        <v>25.340170000000001</v>
      </c>
      <c r="AG123">
        <v>0.79562999999999995</v>
      </c>
      <c r="AH123">
        <v>0.95476000000000005</v>
      </c>
      <c r="AI123">
        <v>4.07308</v>
      </c>
      <c r="AJ123" s="329">
        <v>235.46906999999999</v>
      </c>
      <c r="AL123">
        <v>0</v>
      </c>
      <c r="AQ123" t="s">
        <v>767</v>
      </c>
      <c r="AR123" t="s">
        <v>767</v>
      </c>
      <c r="AS123" t="s">
        <v>767</v>
      </c>
      <c r="AZ123">
        <v>0</v>
      </c>
      <c r="BA123" t="s">
        <v>917</v>
      </c>
      <c r="BB123" t="s">
        <v>1422</v>
      </c>
      <c r="BC123" t="s">
        <v>916</v>
      </c>
      <c r="BD123" t="s">
        <v>2055</v>
      </c>
      <c r="BE123" s="330">
        <v>43138.469201388885</v>
      </c>
      <c r="BH123" t="str">
        <f>VLOOKUP(B:B,výpočty!$Z$246:$Z$515,1,FALSE)</f>
        <v>R92804</v>
      </c>
    </row>
    <row r="124" spans="1:60" x14ac:dyDescent="0.25">
      <c r="A124">
        <v>112002</v>
      </c>
      <c r="B124" t="s">
        <v>543</v>
      </c>
      <c r="C124" t="s">
        <v>839</v>
      </c>
      <c r="F124">
        <v>0</v>
      </c>
      <c r="G124">
        <v>222</v>
      </c>
      <c r="H124">
        <v>0</v>
      </c>
      <c r="I124">
        <v>0</v>
      </c>
      <c r="J124" t="s">
        <v>643</v>
      </c>
      <c r="L124">
        <v>1</v>
      </c>
      <c r="M124">
        <v>1</v>
      </c>
      <c r="N124">
        <v>1</v>
      </c>
      <c r="O124">
        <v>0</v>
      </c>
      <c r="R124">
        <v>0</v>
      </c>
      <c r="U124">
        <v>1</v>
      </c>
      <c r="V124">
        <v>0.109</v>
      </c>
      <c r="W124">
        <v>0</v>
      </c>
      <c r="X124">
        <v>7.0000000000000001E-3</v>
      </c>
      <c r="Y124">
        <v>0</v>
      </c>
      <c r="Z124" t="s">
        <v>767</v>
      </c>
      <c r="AA124">
        <v>40</v>
      </c>
      <c r="AB124">
        <v>1</v>
      </c>
      <c r="AC124">
        <v>1</v>
      </c>
      <c r="AD124">
        <v>0</v>
      </c>
      <c r="AE124">
        <v>20.94229</v>
      </c>
      <c r="AF124">
        <v>25.340170000000001</v>
      </c>
      <c r="AG124">
        <v>0.79562999999999995</v>
      </c>
      <c r="AH124">
        <v>0.95476000000000005</v>
      </c>
      <c r="AI124">
        <v>4.07308</v>
      </c>
      <c r="AJ124" s="329">
        <v>235.46906999999999</v>
      </c>
      <c r="AL124">
        <v>0</v>
      </c>
      <c r="AQ124" t="s">
        <v>767</v>
      </c>
      <c r="AR124" t="s">
        <v>767</v>
      </c>
      <c r="AS124" t="s">
        <v>767</v>
      </c>
      <c r="AZ124">
        <v>0</v>
      </c>
      <c r="BA124" t="s">
        <v>841</v>
      </c>
      <c r="BB124" t="s">
        <v>1393</v>
      </c>
      <c r="BC124" t="s">
        <v>840</v>
      </c>
      <c r="BD124" t="s">
        <v>2055</v>
      </c>
      <c r="BE124" s="330">
        <v>43138.478391203702</v>
      </c>
      <c r="BH124" t="str">
        <f>VLOOKUP(B:B,výpočty!$Z$246:$Z$515,1,FALSE)</f>
        <v>R84087</v>
      </c>
    </row>
    <row r="125" spans="1:60" x14ac:dyDescent="0.25">
      <c r="A125">
        <v>112002</v>
      </c>
      <c r="B125" t="s">
        <v>546</v>
      </c>
      <c r="C125" t="s">
        <v>842</v>
      </c>
      <c r="F125">
        <v>0</v>
      </c>
      <c r="G125">
        <v>222</v>
      </c>
      <c r="H125">
        <v>0</v>
      </c>
      <c r="I125">
        <v>0</v>
      </c>
      <c r="J125" t="s">
        <v>643</v>
      </c>
      <c r="L125">
        <v>1</v>
      </c>
      <c r="M125">
        <v>1</v>
      </c>
      <c r="N125">
        <v>1</v>
      </c>
      <c r="O125">
        <v>0</v>
      </c>
      <c r="R125">
        <v>0</v>
      </c>
      <c r="U125">
        <v>1</v>
      </c>
      <c r="V125">
        <v>0.109</v>
      </c>
      <c r="W125">
        <v>0</v>
      </c>
      <c r="X125">
        <v>7.0000000000000001E-3</v>
      </c>
      <c r="Y125">
        <v>0</v>
      </c>
      <c r="Z125" t="s">
        <v>767</v>
      </c>
      <c r="AA125">
        <v>40</v>
      </c>
      <c r="AB125">
        <v>1</v>
      </c>
      <c r="AC125">
        <v>1</v>
      </c>
      <c r="AD125">
        <v>0</v>
      </c>
      <c r="AE125">
        <v>20.94229</v>
      </c>
      <c r="AF125">
        <v>25.340170000000001</v>
      </c>
      <c r="AG125">
        <v>0.79562999999999995</v>
      </c>
      <c r="AH125">
        <v>0.95476000000000005</v>
      </c>
      <c r="AI125">
        <v>4.07308</v>
      </c>
      <c r="AJ125" s="329">
        <v>235.46906999999999</v>
      </c>
      <c r="AL125">
        <v>0</v>
      </c>
      <c r="AQ125" t="s">
        <v>767</v>
      </c>
      <c r="AR125" t="s">
        <v>767</v>
      </c>
      <c r="AS125" t="s">
        <v>767</v>
      </c>
      <c r="AZ125">
        <v>0</v>
      </c>
      <c r="BA125" t="s">
        <v>844</v>
      </c>
      <c r="BB125" t="s">
        <v>1394</v>
      </c>
      <c r="BC125" t="s">
        <v>843</v>
      </c>
      <c r="BD125" t="s">
        <v>2055</v>
      </c>
      <c r="BE125" s="330">
        <v>43138.478391203702</v>
      </c>
      <c r="BH125" t="str">
        <f>VLOOKUP(B:B,výpočty!$Z$246:$Z$515,1,FALSE)</f>
        <v>R84090</v>
      </c>
    </row>
    <row r="126" spans="1:60" x14ac:dyDescent="0.25">
      <c r="A126">
        <v>112002</v>
      </c>
      <c r="B126" t="s">
        <v>539</v>
      </c>
      <c r="C126" t="s">
        <v>866</v>
      </c>
      <c r="F126">
        <v>0</v>
      </c>
      <c r="G126">
        <v>222</v>
      </c>
      <c r="H126">
        <v>0</v>
      </c>
      <c r="I126">
        <v>0</v>
      </c>
      <c r="J126" t="s">
        <v>643</v>
      </c>
      <c r="L126">
        <v>1</v>
      </c>
      <c r="M126">
        <v>1</v>
      </c>
      <c r="N126">
        <v>1</v>
      </c>
      <c r="O126">
        <v>0</v>
      </c>
      <c r="R126">
        <v>0</v>
      </c>
      <c r="U126">
        <v>1</v>
      </c>
      <c r="V126">
        <v>0.109</v>
      </c>
      <c r="W126">
        <v>0</v>
      </c>
      <c r="X126">
        <v>7.0000000000000001E-3</v>
      </c>
      <c r="Y126">
        <v>0</v>
      </c>
      <c r="Z126" t="s">
        <v>767</v>
      </c>
      <c r="AA126">
        <v>40</v>
      </c>
      <c r="AB126">
        <v>1</v>
      </c>
      <c r="AC126">
        <v>1</v>
      </c>
      <c r="AD126">
        <v>0</v>
      </c>
      <c r="AE126">
        <v>20.94229</v>
      </c>
      <c r="AF126">
        <v>25.340170000000001</v>
      </c>
      <c r="AG126">
        <v>0.79562999999999995</v>
      </c>
      <c r="AH126">
        <v>0.95476000000000005</v>
      </c>
      <c r="AI126">
        <v>4.07308</v>
      </c>
      <c r="AJ126" s="329">
        <v>235.46906999999999</v>
      </c>
      <c r="AL126">
        <v>0</v>
      </c>
      <c r="AQ126" t="s">
        <v>767</v>
      </c>
      <c r="AR126" t="s">
        <v>767</v>
      </c>
      <c r="AS126" t="s">
        <v>767</v>
      </c>
      <c r="AZ126">
        <v>0</v>
      </c>
      <c r="BA126" t="s">
        <v>867</v>
      </c>
      <c r="BB126" t="s">
        <v>1404</v>
      </c>
      <c r="BC126" t="s">
        <v>1743</v>
      </c>
      <c r="BD126" t="s">
        <v>2055</v>
      </c>
      <c r="BE126" s="330">
        <v>43138.474293981482</v>
      </c>
      <c r="BH126" t="str">
        <f>VLOOKUP(B:B,výpočty!$Z$246:$Z$515,1,FALSE)</f>
        <v>R88209</v>
      </c>
    </row>
    <row r="127" spans="1:60" x14ac:dyDescent="0.25">
      <c r="A127">
        <v>112002</v>
      </c>
      <c r="B127" t="s">
        <v>607</v>
      </c>
      <c r="C127" t="s">
        <v>907</v>
      </c>
      <c r="F127">
        <v>0</v>
      </c>
      <c r="G127">
        <v>222</v>
      </c>
      <c r="H127">
        <v>0</v>
      </c>
      <c r="I127">
        <v>0</v>
      </c>
      <c r="J127" t="s">
        <v>643</v>
      </c>
      <c r="L127">
        <v>1</v>
      </c>
      <c r="M127">
        <v>1</v>
      </c>
      <c r="N127">
        <v>1</v>
      </c>
      <c r="O127">
        <v>0</v>
      </c>
      <c r="R127">
        <v>0</v>
      </c>
      <c r="U127">
        <v>1</v>
      </c>
      <c r="V127">
        <v>0.109</v>
      </c>
      <c r="W127">
        <v>0</v>
      </c>
      <c r="X127">
        <v>7.0000000000000001E-3</v>
      </c>
      <c r="Y127">
        <v>0</v>
      </c>
      <c r="Z127" t="s">
        <v>767</v>
      </c>
      <c r="AA127">
        <v>40</v>
      </c>
      <c r="AB127">
        <v>1</v>
      </c>
      <c r="AC127">
        <v>1</v>
      </c>
      <c r="AD127">
        <v>1</v>
      </c>
      <c r="AE127">
        <v>20.94229</v>
      </c>
      <c r="AF127">
        <v>25.340170000000001</v>
      </c>
      <c r="AG127">
        <v>0.79562999999999995</v>
      </c>
      <c r="AH127">
        <v>0.95476000000000005</v>
      </c>
      <c r="AI127">
        <v>4.07308</v>
      </c>
      <c r="AJ127" s="329">
        <v>235.46906999999999</v>
      </c>
      <c r="AL127">
        <v>0</v>
      </c>
      <c r="AQ127" t="s">
        <v>767</v>
      </c>
      <c r="AR127" t="s">
        <v>767</v>
      </c>
      <c r="AS127" t="s">
        <v>767</v>
      </c>
      <c r="AZ127">
        <v>0</v>
      </c>
      <c r="BA127" t="s">
        <v>908</v>
      </c>
      <c r="BB127" t="s">
        <v>1419</v>
      </c>
      <c r="BC127" t="s">
        <v>1704</v>
      </c>
      <c r="BD127" t="s">
        <v>2055</v>
      </c>
      <c r="BE127" s="330">
        <v>43138.474317129629</v>
      </c>
      <c r="BH127" t="str">
        <f>VLOOKUP(B:B,výpočty!$Z$246:$Z$515,1,FALSE)</f>
        <v>R92801</v>
      </c>
    </row>
    <row r="128" spans="1:60" x14ac:dyDescent="0.25">
      <c r="A128">
        <v>112002</v>
      </c>
      <c r="B128" t="s">
        <v>542</v>
      </c>
      <c r="C128" t="s">
        <v>912</v>
      </c>
      <c r="F128">
        <v>0</v>
      </c>
      <c r="G128">
        <v>222</v>
      </c>
      <c r="H128">
        <v>0</v>
      </c>
      <c r="I128">
        <v>0</v>
      </c>
      <c r="J128" t="s">
        <v>643</v>
      </c>
      <c r="L128">
        <v>1</v>
      </c>
      <c r="M128">
        <v>1</v>
      </c>
      <c r="N128">
        <v>1</v>
      </c>
      <c r="O128">
        <v>0</v>
      </c>
      <c r="R128">
        <v>0</v>
      </c>
      <c r="U128">
        <v>1</v>
      </c>
      <c r="V128">
        <v>0.109</v>
      </c>
      <c r="W128">
        <v>0</v>
      </c>
      <c r="X128">
        <v>7.0000000000000001E-3</v>
      </c>
      <c r="Y128">
        <v>0</v>
      </c>
      <c r="Z128" t="s">
        <v>767</v>
      </c>
      <c r="AA128">
        <v>40</v>
      </c>
      <c r="AB128">
        <v>1</v>
      </c>
      <c r="AC128">
        <v>1</v>
      </c>
      <c r="AD128">
        <v>0</v>
      </c>
      <c r="AE128">
        <v>20.94229</v>
      </c>
      <c r="AF128">
        <v>25.340170000000001</v>
      </c>
      <c r="AG128">
        <v>0.79562999999999995</v>
      </c>
      <c r="AH128">
        <v>0.95476000000000005</v>
      </c>
      <c r="AI128">
        <v>4.07308</v>
      </c>
      <c r="AJ128">
        <v>235.46906999999999</v>
      </c>
      <c r="AL128">
        <v>0</v>
      </c>
      <c r="AQ128" t="s">
        <v>767</v>
      </c>
      <c r="AR128" t="s">
        <v>767</v>
      </c>
      <c r="AS128" t="s">
        <v>767</v>
      </c>
      <c r="AZ128">
        <v>0</v>
      </c>
      <c r="BA128" t="s">
        <v>914</v>
      </c>
      <c r="BB128" t="s">
        <v>1421</v>
      </c>
      <c r="BC128" t="s">
        <v>913</v>
      </c>
      <c r="BD128" t="s">
        <v>2055</v>
      </c>
      <c r="BE128" s="330">
        <v>43138.470300925925</v>
      </c>
      <c r="BH128" t="str">
        <f>VLOOKUP(B:B,výpočty!$Z$246:$Z$515,1,FALSE)</f>
        <v>R92803</v>
      </c>
    </row>
    <row r="129" spans="1:60" x14ac:dyDescent="0.25">
      <c r="A129">
        <v>112002</v>
      </c>
      <c r="B129" t="s">
        <v>545</v>
      </c>
      <c r="C129" t="s">
        <v>845</v>
      </c>
      <c r="F129">
        <v>0</v>
      </c>
      <c r="G129">
        <v>222</v>
      </c>
      <c r="H129">
        <v>0</v>
      </c>
      <c r="I129">
        <v>0</v>
      </c>
      <c r="J129" t="s">
        <v>643</v>
      </c>
      <c r="L129">
        <v>1</v>
      </c>
      <c r="M129">
        <v>1</v>
      </c>
      <c r="N129">
        <v>1</v>
      </c>
      <c r="O129">
        <v>0</v>
      </c>
      <c r="R129">
        <v>0</v>
      </c>
      <c r="U129">
        <v>1</v>
      </c>
      <c r="V129">
        <v>0.109</v>
      </c>
      <c r="W129">
        <v>0</v>
      </c>
      <c r="X129">
        <v>7.0000000000000001E-3</v>
      </c>
      <c r="Y129">
        <v>0</v>
      </c>
      <c r="Z129" t="s">
        <v>767</v>
      </c>
      <c r="AA129">
        <v>40</v>
      </c>
      <c r="AB129">
        <v>1</v>
      </c>
      <c r="AC129">
        <v>1</v>
      </c>
      <c r="AD129">
        <v>0</v>
      </c>
      <c r="AE129">
        <v>20.94229</v>
      </c>
      <c r="AF129">
        <v>25.340170000000001</v>
      </c>
      <c r="AG129">
        <v>0.79562999999999995</v>
      </c>
      <c r="AH129">
        <v>0.95476000000000005</v>
      </c>
      <c r="AI129">
        <v>4.07308</v>
      </c>
      <c r="AJ129">
        <v>235.46906999999999</v>
      </c>
      <c r="AL129">
        <v>0</v>
      </c>
      <c r="AQ129" t="s">
        <v>767</v>
      </c>
      <c r="AR129" t="s">
        <v>767</v>
      </c>
      <c r="AS129" t="s">
        <v>767</v>
      </c>
      <c r="AZ129">
        <v>0</v>
      </c>
      <c r="BA129" t="s">
        <v>847</v>
      </c>
      <c r="BB129" t="s">
        <v>1395</v>
      </c>
      <c r="BC129" t="s">
        <v>846</v>
      </c>
      <c r="BD129" t="s">
        <v>2055</v>
      </c>
      <c r="BE129" s="330">
        <v>43138.470312500001</v>
      </c>
      <c r="BH129" t="str">
        <f>VLOOKUP(B:B,výpočty!$Z$246:$Z$515,1,FALSE)</f>
        <v>R84091</v>
      </c>
    </row>
    <row r="130" spans="1:60" x14ac:dyDescent="0.25">
      <c r="A130">
        <v>112002</v>
      </c>
      <c r="B130" t="s">
        <v>537</v>
      </c>
      <c r="C130" t="s">
        <v>1746</v>
      </c>
      <c r="F130">
        <v>0</v>
      </c>
      <c r="G130">
        <v>222</v>
      </c>
      <c r="H130">
        <v>0</v>
      </c>
      <c r="I130">
        <v>0</v>
      </c>
      <c r="J130" t="s">
        <v>643</v>
      </c>
      <c r="L130">
        <v>1</v>
      </c>
      <c r="M130">
        <v>1</v>
      </c>
      <c r="N130">
        <v>1</v>
      </c>
      <c r="O130">
        <v>0</v>
      </c>
      <c r="R130">
        <v>0</v>
      </c>
      <c r="U130">
        <v>1</v>
      </c>
      <c r="V130">
        <v>0.109</v>
      </c>
      <c r="W130">
        <v>0</v>
      </c>
      <c r="X130">
        <v>7.0000000000000001E-3</v>
      </c>
      <c r="Y130">
        <v>0</v>
      </c>
      <c r="Z130" t="s">
        <v>767</v>
      </c>
      <c r="AA130">
        <v>40</v>
      </c>
      <c r="AB130">
        <v>1</v>
      </c>
      <c r="AC130">
        <v>1</v>
      </c>
      <c r="AD130">
        <v>0</v>
      </c>
      <c r="AE130">
        <v>20.94229</v>
      </c>
      <c r="AF130">
        <v>25.340170000000001</v>
      </c>
      <c r="AG130">
        <v>0.79562999999999995</v>
      </c>
      <c r="AH130">
        <v>0.95476000000000005</v>
      </c>
      <c r="AI130">
        <v>4.07308</v>
      </c>
      <c r="AJ130">
        <v>235.46906999999999</v>
      </c>
      <c r="AL130">
        <v>0</v>
      </c>
      <c r="AQ130" t="s">
        <v>767</v>
      </c>
      <c r="AR130" t="s">
        <v>767</v>
      </c>
      <c r="AS130" t="s">
        <v>767</v>
      </c>
      <c r="AZ130">
        <v>0</v>
      </c>
      <c r="BA130" t="s">
        <v>1747</v>
      </c>
      <c r="BB130" t="s">
        <v>1437</v>
      </c>
      <c r="BC130" t="s">
        <v>958</v>
      </c>
      <c r="BD130" t="s">
        <v>2055</v>
      </c>
      <c r="BE130" s="330">
        <v>43138.474328703705</v>
      </c>
      <c r="BH130" t="str">
        <f>VLOOKUP(B:B,výpočty!$Z$246:$Z$515,1,FALSE)</f>
        <v>R92831</v>
      </c>
    </row>
    <row r="131" spans="1:60" x14ac:dyDescent="0.25">
      <c r="A131">
        <v>112002</v>
      </c>
      <c r="B131" t="s">
        <v>1013</v>
      </c>
      <c r="C131" t="s">
        <v>1014</v>
      </c>
      <c r="F131">
        <v>0</v>
      </c>
      <c r="G131">
        <v>222</v>
      </c>
      <c r="H131">
        <v>0</v>
      </c>
      <c r="I131">
        <v>0</v>
      </c>
      <c r="J131" t="s">
        <v>657</v>
      </c>
      <c r="L131">
        <v>1</v>
      </c>
      <c r="M131">
        <v>1</v>
      </c>
      <c r="N131">
        <v>1</v>
      </c>
      <c r="O131">
        <v>0</v>
      </c>
      <c r="R131">
        <v>0</v>
      </c>
      <c r="U131">
        <v>1</v>
      </c>
      <c r="V131">
        <v>0.437</v>
      </c>
      <c r="W131">
        <v>0</v>
      </c>
      <c r="X131">
        <v>3.5000000000000003E-2</v>
      </c>
      <c r="Y131">
        <v>0</v>
      </c>
      <c r="Z131" t="s">
        <v>767</v>
      </c>
      <c r="AA131">
        <v>10</v>
      </c>
      <c r="AB131">
        <v>1</v>
      </c>
      <c r="AC131">
        <v>1</v>
      </c>
      <c r="AD131">
        <v>0</v>
      </c>
      <c r="AE131">
        <v>28.409469999999999</v>
      </c>
      <c r="AF131">
        <v>34.375459999999997</v>
      </c>
      <c r="AG131">
        <v>1.0793299999999999</v>
      </c>
      <c r="AH131">
        <v>1.2951999999999999</v>
      </c>
      <c r="AI131">
        <v>5.5253899999999998</v>
      </c>
      <c r="AJ131">
        <v>319.42779999999999</v>
      </c>
      <c r="AL131">
        <v>0</v>
      </c>
      <c r="AQ131" t="s">
        <v>767</v>
      </c>
      <c r="AR131" t="s">
        <v>767</v>
      </c>
      <c r="AS131" t="s">
        <v>767</v>
      </c>
      <c r="AZ131">
        <v>0</v>
      </c>
      <c r="BA131" t="s">
        <v>1016</v>
      </c>
      <c r="BB131" t="s">
        <v>1763</v>
      </c>
      <c r="BC131" t="s">
        <v>1015</v>
      </c>
      <c r="BD131" t="s">
        <v>2055</v>
      </c>
      <c r="BE131" s="330">
        <v>43138.470335648148</v>
      </c>
      <c r="BH131" t="str">
        <f>VLOOKUP(B:B,výpočty!$Z$246:$Z$515,1,FALSE)</f>
        <v>R95590</v>
      </c>
    </row>
    <row r="132" spans="1:60" x14ac:dyDescent="0.25">
      <c r="A132">
        <v>112002</v>
      </c>
      <c r="B132" t="s">
        <v>442</v>
      </c>
      <c r="C132" t="s">
        <v>1150</v>
      </c>
      <c r="F132">
        <v>0</v>
      </c>
      <c r="G132">
        <v>222</v>
      </c>
      <c r="H132">
        <v>0</v>
      </c>
      <c r="I132">
        <v>0</v>
      </c>
      <c r="J132" t="s">
        <v>657</v>
      </c>
      <c r="L132">
        <v>1</v>
      </c>
      <c r="M132">
        <v>1</v>
      </c>
      <c r="N132">
        <v>1</v>
      </c>
      <c r="O132">
        <v>0</v>
      </c>
      <c r="R132">
        <v>0</v>
      </c>
      <c r="U132">
        <v>1</v>
      </c>
      <c r="V132">
        <v>1.32</v>
      </c>
      <c r="W132">
        <v>0</v>
      </c>
      <c r="X132">
        <v>0.24</v>
      </c>
      <c r="Y132">
        <v>0</v>
      </c>
      <c r="Z132" t="s">
        <v>767</v>
      </c>
      <c r="AA132" s="331">
        <v>1</v>
      </c>
      <c r="AB132">
        <v>1</v>
      </c>
      <c r="AC132">
        <v>1</v>
      </c>
      <c r="AD132">
        <v>1</v>
      </c>
      <c r="AE132">
        <v>387.72663</v>
      </c>
      <c r="AF132">
        <v>469.14922000000001</v>
      </c>
      <c r="AG132">
        <v>14.73048</v>
      </c>
      <c r="AH132">
        <v>17.676580000000001</v>
      </c>
      <c r="AI132">
        <v>75.409270000000006</v>
      </c>
      <c r="AJ132" s="329">
        <v>4359.4850699999997</v>
      </c>
      <c r="AL132">
        <v>0</v>
      </c>
      <c r="AQ132" t="s">
        <v>767</v>
      </c>
      <c r="AR132" t="s">
        <v>767</v>
      </c>
      <c r="AS132" t="s">
        <v>767</v>
      </c>
      <c r="AZ132">
        <v>0</v>
      </c>
      <c r="BA132" t="s">
        <v>1152</v>
      </c>
      <c r="BB132" t="s">
        <v>1507</v>
      </c>
      <c r="BC132" t="s">
        <v>1151</v>
      </c>
      <c r="BD132" t="s">
        <v>2055</v>
      </c>
      <c r="BE132" s="330">
        <v>43138.469212962962</v>
      </c>
      <c r="BH132" t="str">
        <f>VLOOKUP(B:B,výpočty!$Z$246:$Z$515,1,FALSE)</f>
        <v>R96219</v>
      </c>
    </row>
    <row r="133" spans="1:60" x14ac:dyDescent="0.25">
      <c r="A133">
        <v>112002</v>
      </c>
      <c r="B133" t="s">
        <v>790</v>
      </c>
      <c r="C133" t="s">
        <v>1734</v>
      </c>
      <c r="F133">
        <v>0</v>
      </c>
      <c r="G133">
        <v>222</v>
      </c>
      <c r="H133">
        <v>0</v>
      </c>
      <c r="I133">
        <v>0</v>
      </c>
      <c r="J133" t="s">
        <v>643</v>
      </c>
      <c r="L133">
        <v>1</v>
      </c>
      <c r="M133">
        <v>1</v>
      </c>
      <c r="N133">
        <v>1</v>
      </c>
      <c r="O133">
        <v>0</v>
      </c>
      <c r="R133">
        <v>0</v>
      </c>
      <c r="U133">
        <v>1</v>
      </c>
      <c r="V133">
        <v>4.37</v>
      </c>
      <c r="W133">
        <v>0</v>
      </c>
      <c r="X133">
        <v>0.35</v>
      </c>
      <c r="Y133">
        <v>0</v>
      </c>
      <c r="Z133" t="s">
        <v>767</v>
      </c>
      <c r="AA133">
        <v>1</v>
      </c>
      <c r="AB133">
        <v>1</v>
      </c>
      <c r="AC133">
        <v>1</v>
      </c>
      <c r="AD133">
        <v>0</v>
      </c>
      <c r="AE133">
        <v>775.45324000000005</v>
      </c>
      <c r="AF133">
        <v>938.29841999999996</v>
      </c>
      <c r="AG133">
        <v>29.46095</v>
      </c>
      <c r="AH133">
        <v>35.353140000000003</v>
      </c>
      <c r="AI133">
        <v>150.81854000000001</v>
      </c>
      <c r="AJ133" s="329">
        <v>8718.9699299999993</v>
      </c>
      <c r="AL133">
        <v>0</v>
      </c>
      <c r="AN133" t="s">
        <v>2114</v>
      </c>
      <c r="AQ133" t="s">
        <v>767</v>
      </c>
      <c r="AR133" t="s">
        <v>767</v>
      </c>
      <c r="AS133" t="s">
        <v>767</v>
      </c>
      <c r="AZ133">
        <v>0</v>
      </c>
      <c r="BA133" t="s">
        <v>1735</v>
      </c>
      <c r="BB133" t="s">
        <v>792</v>
      </c>
      <c r="BC133" t="s">
        <v>791</v>
      </c>
      <c r="BD133" t="s">
        <v>2055</v>
      </c>
      <c r="BE133" s="330">
        <v>43138.430613425924</v>
      </c>
      <c r="BH133" t="str">
        <f>VLOOKUP(B:B,výpočty!$Z$246:$Z$515,1,FALSE)</f>
        <v>R00060</v>
      </c>
    </row>
    <row r="134" spans="1:60" x14ac:dyDescent="0.25">
      <c r="A134">
        <v>112002</v>
      </c>
      <c r="B134" t="s">
        <v>596</v>
      </c>
      <c r="C134" t="s">
        <v>1744</v>
      </c>
      <c r="F134">
        <v>0</v>
      </c>
      <c r="G134">
        <v>222</v>
      </c>
      <c r="H134">
        <v>0</v>
      </c>
      <c r="I134">
        <v>0</v>
      </c>
      <c r="J134" t="s">
        <v>643</v>
      </c>
      <c r="L134">
        <v>1</v>
      </c>
      <c r="M134">
        <v>1</v>
      </c>
      <c r="N134">
        <v>1</v>
      </c>
      <c r="O134">
        <v>0</v>
      </c>
      <c r="R134">
        <v>0</v>
      </c>
      <c r="U134">
        <v>1</v>
      </c>
      <c r="V134">
        <v>0.26400000000000001</v>
      </c>
      <c r="W134">
        <v>0</v>
      </c>
      <c r="X134">
        <v>3.5999999999999997E-2</v>
      </c>
      <c r="Y134">
        <v>0</v>
      </c>
      <c r="Z134" t="s">
        <v>767</v>
      </c>
      <c r="AA134">
        <v>5</v>
      </c>
      <c r="AB134">
        <v>1</v>
      </c>
      <c r="AC134">
        <v>1</v>
      </c>
      <c r="AD134">
        <v>0</v>
      </c>
      <c r="AE134">
        <v>278.55563999999998</v>
      </c>
      <c r="AF134">
        <v>337.05232000000001</v>
      </c>
      <c r="AG134">
        <v>10.58286</v>
      </c>
      <c r="AH134">
        <v>12.69943</v>
      </c>
      <c r="AI134">
        <v>54.176519999999996</v>
      </c>
      <c r="AJ134" s="329">
        <v>3131.9982300000001</v>
      </c>
      <c r="AL134">
        <v>0</v>
      </c>
      <c r="AN134" t="s">
        <v>2117</v>
      </c>
      <c r="AQ134" t="s">
        <v>767</v>
      </c>
      <c r="AR134" t="s">
        <v>767</v>
      </c>
      <c r="AS134" t="s">
        <v>767</v>
      </c>
      <c r="AZ134">
        <v>0</v>
      </c>
      <c r="BA134" t="s">
        <v>906</v>
      </c>
      <c r="BB134" t="s">
        <v>905</v>
      </c>
      <c r="BC134" t="s">
        <v>904</v>
      </c>
      <c r="BD134" t="s">
        <v>2055</v>
      </c>
      <c r="BE134" s="330">
        <v>43138.470324074071</v>
      </c>
      <c r="BH134" t="str">
        <f>VLOOKUP(B:B,výpočty!$Z$246:$Z$515,1,FALSE)</f>
        <v>R88329</v>
      </c>
    </row>
    <row r="135" spans="1:60" x14ac:dyDescent="0.25">
      <c r="A135">
        <v>112002</v>
      </c>
      <c r="B135" t="s">
        <v>523</v>
      </c>
      <c r="C135" t="s">
        <v>1485</v>
      </c>
      <c r="F135">
        <v>0</v>
      </c>
      <c r="G135">
        <v>222</v>
      </c>
      <c r="H135">
        <v>0</v>
      </c>
      <c r="I135">
        <v>0</v>
      </c>
      <c r="J135" t="s">
        <v>643</v>
      </c>
      <c r="L135">
        <v>1</v>
      </c>
      <c r="M135">
        <v>1</v>
      </c>
      <c r="N135">
        <v>1</v>
      </c>
      <c r="O135">
        <v>0</v>
      </c>
      <c r="R135">
        <v>0</v>
      </c>
      <c r="U135">
        <v>1</v>
      </c>
      <c r="V135">
        <v>1.5</v>
      </c>
      <c r="W135">
        <v>0</v>
      </c>
      <c r="X135">
        <v>6.2E-2</v>
      </c>
      <c r="Y135">
        <v>0</v>
      </c>
      <c r="Z135" t="s">
        <v>767</v>
      </c>
      <c r="AA135">
        <v>10</v>
      </c>
      <c r="AB135">
        <v>1</v>
      </c>
      <c r="AC135">
        <v>1</v>
      </c>
      <c r="AD135">
        <v>0</v>
      </c>
      <c r="AE135">
        <v>599.16003000000001</v>
      </c>
      <c r="AF135">
        <v>724.98364000000004</v>
      </c>
      <c r="AG135">
        <v>22.763249999999999</v>
      </c>
      <c r="AH135">
        <v>27.315899999999999</v>
      </c>
      <c r="AI135">
        <v>116.53112</v>
      </c>
      <c r="AJ135" s="329">
        <v>6736.7805200000003</v>
      </c>
      <c r="AL135">
        <v>0</v>
      </c>
      <c r="AQ135" t="s">
        <v>767</v>
      </c>
      <c r="AR135" t="s">
        <v>767</v>
      </c>
      <c r="AS135" t="s">
        <v>767</v>
      </c>
      <c r="AZ135">
        <v>0</v>
      </c>
      <c r="BA135" t="s">
        <v>1559</v>
      </c>
      <c r="BB135" t="s">
        <v>1486</v>
      </c>
      <c r="BC135" t="s">
        <v>1103</v>
      </c>
      <c r="BD135" t="s">
        <v>2055</v>
      </c>
      <c r="BE135" s="330">
        <v>43138.47042824074</v>
      </c>
      <c r="BH135" t="str">
        <f>VLOOKUP(B:B,výpočty!$Z$246:$Z$515,1,FALSE)</f>
        <v>R95879</v>
      </c>
    </row>
    <row r="136" spans="1:60" x14ac:dyDescent="0.25">
      <c r="A136">
        <v>112002</v>
      </c>
      <c r="B136" t="s">
        <v>516</v>
      </c>
      <c r="C136" t="s">
        <v>1142</v>
      </c>
      <c r="F136">
        <v>0</v>
      </c>
      <c r="G136">
        <v>222</v>
      </c>
      <c r="H136">
        <v>0</v>
      </c>
      <c r="I136">
        <v>0</v>
      </c>
      <c r="J136" t="s">
        <v>1727</v>
      </c>
      <c r="L136">
        <v>1</v>
      </c>
      <c r="M136">
        <v>1</v>
      </c>
      <c r="N136">
        <v>1</v>
      </c>
      <c r="O136">
        <v>0</v>
      </c>
      <c r="R136">
        <v>0</v>
      </c>
      <c r="U136">
        <v>1</v>
      </c>
      <c r="V136">
        <v>1.625</v>
      </c>
      <c r="W136">
        <v>0</v>
      </c>
      <c r="X136">
        <v>0.125</v>
      </c>
      <c r="Y136">
        <v>0</v>
      </c>
      <c r="Z136" t="s">
        <v>767</v>
      </c>
      <c r="AA136">
        <v>20</v>
      </c>
      <c r="AB136">
        <v>0.1</v>
      </c>
      <c r="AC136">
        <v>1</v>
      </c>
      <c r="AD136">
        <v>0</v>
      </c>
      <c r="AE136">
        <v>141.54115999999999</v>
      </c>
      <c r="AF136">
        <v>171.26480000000001</v>
      </c>
      <c r="AG136">
        <v>5.3774199999999999</v>
      </c>
      <c r="AH136">
        <v>6.4528999999999996</v>
      </c>
      <c r="AI136">
        <v>27.528469999999999</v>
      </c>
      <c r="AJ136" s="329">
        <v>1591.44757</v>
      </c>
      <c r="AL136">
        <v>0</v>
      </c>
      <c r="AQ136" t="s">
        <v>767</v>
      </c>
      <c r="AR136" t="s">
        <v>767</v>
      </c>
      <c r="AS136" t="s">
        <v>767</v>
      </c>
      <c r="AZ136">
        <v>0</v>
      </c>
      <c r="BA136" t="s">
        <v>1144</v>
      </c>
      <c r="BB136" t="s">
        <v>1503</v>
      </c>
      <c r="BC136" t="s">
        <v>1143</v>
      </c>
      <c r="BD136" t="s">
        <v>2055</v>
      </c>
      <c r="BE136" s="330">
        <v>43138.469317129631</v>
      </c>
      <c r="BH136" t="str">
        <f>VLOOKUP(B:B,výpočty!$Z$246:$Z$515,1,FALSE)</f>
        <v>R96087</v>
      </c>
    </row>
    <row r="137" spans="1:60" x14ac:dyDescent="0.25">
      <c r="A137">
        <v>112002</v>
      </c>
      <c r="B137" t="s">
        <v>518</v>
      </c>
      <c r="C137" t="s">
        <v>1132</v>
      </c>
      <c r="F137">
        <v>0</v>
      </c>
      <c r="G137">
        <v>222</v>
      </c>
      <c r="H137">
        <v>0</v>
      </c>
      <c r="I137">
        <v>0</v>
      </c>
      <c r="J137" t="s">
        <v>1727</v>
      </c>
      <c r="L137">
        <v>1</v>
      </c>
      <c r="M137">
        <v>1</v>
      </c>
      <c r="N137">
        <v>1</v>
      </c>
      <c r="O137">
        <v>0</v>
      </c>
      <c r="R137">
        <v>0</v>
      </c>
      <c r="U137">
        <v>1</v>
      </c>
      <c r="V137">
        <v>1.625</v>
      </c>
      <c r="W137">
        <v>0</v>
      </c>
      <c r="X137">
        <v>0.125</v>
      </c>
      <c r="Y137">
        <v>0</v>
      </c>
      <c r="Z137" t="s">
        <v>767</v>
      </c>
      <c r="AA137">
        <v>20</v>
      </c>
      <c r="AB137">
        <v>0.1</v>
      </c>
      <c r="AC137">
        <v>1</v>
      </c>
      <c r="AD137">
        <v>0</v>
      </c>
      <c r="AE137">
        <v>96.872380000000007</v>
      </c>
      <c r="AF137" s="329">
        <v>117.21558</v>
      </c>
      <c r="AG137">
        <v>3.6803599999999999</v>
      </c>
      <c r="AH137">
        <v>4.4164300000000001</v>
      </c>
      <c r="AI137">
        <v>18.840800000000002</v>
      </c>
      <c r="AJ137" s="329">
        <v>1089.20471</v>
      </c>
      <c r="AL137">
        <v>0</v>
      </c>
      <c r="AQ137" t="s">
        <v>767</v>
      </c>
      <c r="AR137" t="s">
        <v>767</v>
      </c>
      <c r="AS137" t="s">
        <v>767</v>
      </c>
      <c r="AZ137">
        <v>0</v>
      </c>
      <c r="BA137" t="s">
        <v>1769</v>
      </c>
      <c r="BB137" t="s">
        <v>1499</v>
      </c>
      <c r="BC137" t="s">
        <v>1133</v>
      </c>
      <c r="BD137" t="s">
        <v>2055</v>
      </c>
      <c r="BE137" s="330">
        <v>43138.469305555554</v>
      </c>
      <c r="BH137" t="str">
        <f>VLOOKUP(B:B,výpočty!$Z$246:$Z$515,1,FALSE)</f>
        <v>R96082</v>
      </c>
    </row>
    <row r="138" spans="1:60" x14ac:dyDescent="0.25">
      <c r="A138">
        <v>112002</v>
      </c>
      <c r="B138" t="s">
        <v>517</v>
      </c>
      <c r="C138" t="s">
        <v>1128</v>
      </c>
      <c r="F138">
        <v>0</v>
      </c>
      <c r="G138">
        <v>222</v>
      </c>
      <c r="H138">
        <v>0</v>
      </c>
      <c r="I138">
        <v>0</v>
      </c>
      <c r="J138" t="s">
        <v>1727</v>
      </c>
      <c r="L138">
        <v>1</v>
      </c>
      <c r="M138">
        <v>1</v>
      </c>
      <c r="N138">
        <v>1</v>
      </c>
      <c r="O138">
        <v>0</v>
      </c>
      <c r="R138">
        <v>0</v>
      </c>
      <c r="U138">
        <v>1</v>
      </c>
      <c r="V138">
        <v>1.625</v>
      </c>
      <c r="W138">
        <v>0</v>
      </c>
      <c r="X138">
        <v>0.125</v>
      </c>
      <c r="Y138">
        <v>0</v>
      </c>
      <c r="Z138" t="s">
        <v>767</v>
      </c>
      <c r="AA138">
        <v>20</v>
      </c>
      <c r="AB138">
        <v>0.1</v>
      </c>
      <c r="AC138">
        <v>1</v>
      </c>
      <c r="AD138">
        <v>0</v>
      </c>
      <c r="AE138">
        <v>96.872380000000007</v>
      </c>
      <c r="AF138">
        <v>117.21558</v>
      </c>
      <c r="AG138">
        <v>3.6803599999999999</v>
      </c>
      <c r="AH138">
        <v>4.4164300000000001</v>
      </c>
      <c r="AI138">
        <v>18.840800000000002</v>
      </c>
      <c r="AJ138" s="329">
        <v>1089.20471</v>
      </c>
      <c r="AL138">
        <v>0</v>
      </c>
      <c r="AQ138" t="s">
        <v>767</v>
      </c>
      <c r="AR138" t="s">
        <v>767</v>
      </c>
      <c r="AS138" t="s">
        <v>767</v>
      </c>
      <c r="AZ138">
        <v>0</v>
      </c>
      <c r="BA138" t="s">
        <v>1861</v>
      </c>
      <c r="BB138" t="s">
        <v>1497</v>
      </c>
      <c r="BC138" t="s">
        <v>1129</v>
      </c>
      <c r="BD138" t="s">
        <v>2055</v>
      </c>
      <c r="BE138" s="330">
        <v>43138.469305555554</v>
      </c>
      <c r="BH138" t="str">
        <f>VLOOKUP(B:B,výpočty!$Z$246:$Z$515,1,FALSE)</f>
        <v>R96080</v>
      </c>
    </row>
    <row r="139" spans="1:60" x14ac:dyDescent="0.25">
      <c r="A139">
        <v>112002</v>
      </c>
      <c r="B139" t="s">
        <v>519</v>
      </c>
      <c r="C139" t="s">
        <v>1130</v>
      </c>
      <c r="F139">
        <v>0</v>
      </c>
      <c r="G139">
        <v>222</v>
      </c>
      <c r="H139">
        <v>0</v>
      </c>
      <c r="I139">
        <v>0</v>
      </c>
      <c r="J139" t="s">
        <v>1727</v>
      </c>
      <c r="L139">
        <v>1</v>
      </c>
      <c r="M139">
        <v>1</v>
      </c>
      <c r="N139">
        <v>1</v>
      </c>
      <c r="O139">
        <v>0</v>
      </c>
      <c r="R139">
        <v>0</v>
      </c>
      <c r="U139">
        <v>1</v>
      </c>
      <c r="V139">
        <v>1.625</v>
      </c>
      <c r="W139">
        <v>0</v>
      </c>
      <c r="X139">
        <v>0.125</v>
      </c>
      <c r="Y139">
        <v>0</v>
      </c>
      <c r="Z139" t="s">
        <v>767</v>
      </c>
      <c r="AA139">
        <v>20</v>
      </c>
      <c r="AB139">
        <v>0.1</v>
      </c>
      <c r="AC139">
        <v>1</v>
      </c>
      <c r="AD139">
        <v>0</v>
      </c>
      <c r="AE139">
        <v>96.872380000000007</v>
      </c>
      <c r="AF139">
        <v>117.21558</v>
      </c>
      <c r="AG139">
        <v>3.6803599999999999</v>
      </c>
      <c r="AH139">
        <v>4.4164300000000001</v>
      </c>
      <c r="AI139">
        <v>18.840800000000002</v>
      </c>
      <c r="AJ139" s="329">
        <v>1089.20471</v>
      </c>
      <c r="AL139">
        <v>0</v>
      </c>
      <c r="AQ139" t="s">
        <v>767</v>
      </c>
      <c r="AR139" t="s">
        <v>767</v>
      </c>
      <c r="AS139" t="s">
        <v>767</v>
      </c>
      <c r="AZ139">
        <v>0</v>
      </c>
      <c r="BA139" t="s">
        <v>1768</v>
      </c>
      <c r="BB139" t="s">
        <v>1498</v>
      </c>
      <c r="BC139" t="s">
        <v>1131</v>
      </c>
      <c r="BD139" t="s">
        <v>2055</v>
      </c>
      <c r="BE139" s="330">
        <v>43138.470416666663</v>
      </c>
      <c r="BH139" t="str">
        <f>VLOOKUP(B:B,výpočty!$Z$246:$Z$515,1,FALSE)</f>
        <v>R96081</v>
      </c>
    </row>
    <row r="140" spans="1:60" x14ac:dyDescent="0.25">
      <c r="A140">
        <v>112002</v>
      </c>
      <c r="B140" t="s">
        <v>521</v>
      </c>
      <c r="C140" t="s">
        <v>1134</v>
      </c>
      <c r="F140">
        <v>0</v>
      </c>
      <c r="G140">
        <v>222</v>
      </c>
      <c r="H140">
        <v>0</v>
      </c>
      <c r="I140">
        <v>0</v>
      </c>
      <c r="J140" t="s">
        <v>1727</v>
      </c>
      <c r="L140">
        <v>1</v>
      </c>
      <c r="M140">
        <v>1</v>
      </c>
      <c r="N140">
        <v>1</v>
      </c>
      <c r="O140">
        <v>0</v>
      </c>
      <c r="R140">
        <v>0</v>
      </c>
      <c r="U140">
        <v>1</v>
      </c>
      <c r="V140">
        <v>1.625</v>
      </c>
      <c r="W140">
        <v>0</v>
      </c>
      <c r="X140">
        <v>0.125</v>
      </c>
      <c r="Y140">
        <v>0</v>
      </c>
      <c r="Z140" t="s">
        <v>767</v>
      </c>
      <c r="AA140">
        <v>20</v>
      </c>
      <c r="AB140">
        <v>0.1</v>
      </c>
      <c r="AC140">
        <v>1</v>
      </c>
      <c r="AD140">
        <v>0</v>
      </c>
      <c r="AE140">
        <v>141.54115999999999</v>
      </c>
      <c r="AF140">
        <v>171.26480000000001</v>
      </c>
      <c r="AG140">
        <v>5.3774199999999999</v>
      </c>
      <c r="AH140">
        <v>6.4528999999999996</v>
      </c>
      <c r="AI140">
        <v>27.528469999999999</v>
      </c>
      <c r="AJ140" s="329">
        <v>1591.44757</v>
      </c>
      <c r="AL140">
        <v>0</v>
      </c>
      <c r="AQ140" t="s">
        <v>767</v>
      </c>
      <c r="AR140" t="s">
        <v>767</v>
      </c>
      <c r="AS140" t="s">
        <v>767</v>
      </c>
      <c r="AZ140">
        <v>0</v>
      </c>
      <c r="BA140" t="s">
        <v>1135</v>
      </c>
      <c r="BB140" t="s">
        <v>1500</v>
      </c>
      <c r="BC140" t="s">
        <v>1706</v>
      </c>
      <c r="BD140" t="s">
        <v>2055</v>
      </c>
      <c r="BE140" s="330">
        <v>43138.474444444444</v>
      </c>
      <c r="BH140" t="str">
        <f>VLOOKUP(B:B,výpočty!$Z$246:$Z$515,1,FALSE)</f>
        <v>R96083</v>
      </c>
    </row>
    <row r="141" spans="1:60" x14ac:dyDescent="0.25">
      <c r="A141">
        <v>112002</v>
      </c>
      <c r="B141" t="s">
        <v>513</v>
      </c>
      <c r="C141" t="s">
        <v>1114</v>
      </c>
      <c r="F141">
        <v>0</v>
      </c>
      <c r="G141">
        <v>222</v>
      </c>
      <c r="H141">
        <v>0</v>
      </c>
      <c r="I141">
        <v>0</v>
      </c>
      <c r="J141" t="s">
        <v>1727</v>
      </c>
      <c r="L141">
        <v>1</v>
      </c>
      <c r="M141">
        <v>1</v>
      </c>
      <c r="N141">
        <v>1</v>
      </c>
      <c r="O141">
        <v>0</v>
      </c>
      <c r="R141">
        <v>0</v>
      </c>
      <c r="U141">
        <v>1</v>
      </c>
      <c r="V141">
        <v>1.625</v>
      </c>
      <c r="W141">
        <v>0</v>
      </c>
      <c r="X141">
        <v>0.129</v>
      </c>
      <c r="Y141">
        <v>0</v>
      </c>
      <c r="Z141" t="s">
        <v>767</v>
      </c>
      <c r="AA141">
        <v>20</v>
      </c>
      <c r="AB141">
        <v>0.1</v>
      </c>
      <c r="AC141">
        <v>1</v>
      </c>
      <c r="AD141">
        <v>0</v>
      </c>
      <c r="AE141" s="329">
        <v>94.460080000000005</v>
      </c>
      <c r="AF141" s="329">
        <v>114.2967</v>
      </c>
      <c r="AG141">
        <v>3.5887099999999998</v>
      </c>
      <c r="AH141">
        <v>4.3064499999999999</v>
      </c>
      <c r="AI141">
        <v>18.37163</v>
      </c>
      <c r="AJ141" s="329">
        <v>1062.0817</v>
      </c>
      <c r="AL141">
        <v>0</v>
      </c>
      <c r="AQ141" t="s">
        <v>767</v>
      </c>
      <c r="AR141" t="s">
        <v>767</v>
      </c>
      <c r="AS141" t="s">
        <v>767</v>
      </c>
      <c r="AZ141">
        <v>0</v>
      </c>
      <c r="BA141" t="s">
        <v>1765</v>
      </c>
      <c r="BB141" t="s">
        <v>1492</v>
      </c>
      <c r="BC141" t="s">
        <v>1115</v>
      </c>
      <c r="BD141" t="s">
        <v>2055</v>
      </c>
      <c r="BE141" s="330">
        <v>43138.474409722221</v>
      </c>
      <c r="BH141" t="str">
        <f>VLOOKUP(B:B,výpočty!$Z$246:$Z$515,1,FALSE)</f>
        <v>R96073</v>
      </c>
    </row>
    <row r="142" spans="1:60" x14ac:dyDescent="0.25">
      <c r="A142">
        <v>112002</v>
      </c>
      <c r="B142" t="s">
        <v>510</v>
      </c>
      <c r="C142" t="s">
        <v>1110</v>
      </c>
      <c r="F142">
        <v>0</v>
      </c>
      <c r="G142">
        <v>222</v>
      </c>
      <c r="H142">
        <v>0</v>
      </c>
      <c r="I142">
        <v>0</v>
      </c>
      <c r="J142" t="s">
        <v>1727</v>
      </c>
      <c r="L142">
        <v>1</v>
      </c>
      <c r="M142">
        <v>1</v>
      </c>
      <c r="N142">
        <v>1</v>
      </c>
      <c r="O142">
        <v>0</v>
      </c>
      <c r="R142">
        <v>0</v>
      </c>
      <c r="U142">
        <v>1</v>
      </c>
      <c r="V142">
        <v>1.625</v>
      </c>
      <c r="W142">
        <v>0</v>
      </c>
      <c r="X142">
        <v>0.129</v>
      </c>
      <c r="Y142">
        <v>0</v>
      </c>
      <c r="Z142" t="s">
        <v>767</v>
      </c>
      <c r="AA142">
        <v>20</v>
      </c>
      <c r="AB142">
        <v>0.1</v>
      </c>
      <c r="AC142">
        <v>1</v>
      </c>
      <c r="AD142">
        <v>0</v>
      </c>
      <c r="AE142">
        <v>94.460080000000005</v>
      </c>
      <c r="AF142">
        <v>114.2967</v>
      </c>
      <c r="AG142">
        <v>3.5887099999999998</v>
      </c>
      <c r="AH142">
        <v>4.3064499999999999</v>
      </c>
      <c r="AI142">
        <v>18.37163</v>
      </c>
      <c r="AJ142" s="329">
        <v>1062.0817</v>
      </c>
      <c r="AL142">
        <v>0</v>
      </c>
      <c r="AQ142" t="s">
        <v>767</v>
      </c>
      <c r="AR142" t="s">
        <v>767</v>
      </c>
      <c r="AS142" t="s">
        <v>767</v>
      </c>
      <c r="AZ142">
        <v>0</v>
      </c>
      <c r="BA142" t="s">
        <v>1857</v>
      </c>
      <c r="BB142" t="s">
        <v>1490</v>
      </c>
      <c r="BC142" t="s">
        <v>1111</v>
      </c>
      <c r="BD142" t="s">
        <v>2055</v>
      </c>
      <c r="BE142" s="330">
        <v>43138.469247685185</v>
      </c>
      <c r="BH142" t="str">
        <f>VLOOKUP(B:B,výpočty!$Z$246:$Z$515,1,FALSE)</f>
        <v>R96071</v>
      </c>
    </row>
    <row r="143" spans="1:60" x14ac:dyDescent="0.25">
      <c r="A143">
        <v>112002</v>
      </c>
      <c r="B143" t="s">
        <v>509</v>
      </c>
      <c r="C143" t="s">
        <v>1125</v>
      </c>
      <c r="F143">
        <v>0</v>
      </c>
      <c r="G143">
        <v>222</v>
      </c>
      <c r="H143">
        <v>0</v>
      </c>
      <c r="I143">
        <v>0</v>
      </c>
      <c r="J143" t="s">
        <v>1727</v>
      </c>
      <c r="L143">
        <v>1</v>
      </c>
      <c r="M143">
        <v>1</v>
      </c>
      <c r="N143">
        <v>1</v>
      </c>
      <c r="O143">
        <v>0</v>
      </c>
      <c r="R143">
        <v>0</v>
      </c>
      <c r="U143">
        <v>1</v>
      </c>
      <c r="V143">
        <v>1.625</v>
      </c>
      <c r="W143">
        <v>0</v>
      </c>
      <c r="X143">
        <v>0.14099999999999999</v>
      </c>
      <c r="Y143">
        <v>0</v>
      </c>
      <c r="Z143" t="s">
        <v>767</v>
      </c>
      <c r="AA143">
        <v>20</v>
      </c>
      <c r="AB143">
        <v>0.1</v>
      </c>
      <c r="AC143">
        <v>1</v>
      </c>
      <c r="AD143">
        <v>0</v>
      </c>
      <c r="AE143" s="329">
        <v>159.72128000000001</v>
      </c>
      <c r="AF143" s="329">
        <v>193.26275000000001</v>
      </c>
      <c r="AG143">
        <v>6.0681099999999999</v>
      </c>
      <c r="AH143">
        <v>7.2817299999999996</v>
      </c>
      <c r="AI143">
        <v>31.064330000000002</v>
      </c>
      <c r="AJ143" s="329">
        <v>1795.8595</v>
      </c>
      <c r="AL143">
        <v>0</v>
      </c>
      <c r="AQ143" t="s">
        <v>767</v>
      </c>
      <c r="AR143" t="s">
        <v>767</v>
      </c>
      <c r="AS143" t="s">
        <v>767</v>
      </c>
      <c r="AZ143">
        <v>0</v>
      </c>
      <c r="BA143" t="s">
        <v>1127</v>
      </c>
      <c r="BB143" t="s">
        <v>1496</v>
      </c>
      <c r="BC143" t="s">
        <v>1126</v>
      </c>
      <c r="BD143" t="s">
        <v>2055</v>
      </c>
      <c r="BE143" s="330">
        <v>43138.469259259262</v>
      </c>
      <c r="BH143" t="str">
        <f>VLOOKUP(B:B,výpočty!$Z$246:$Z$515,1,FALSE)</f>
        <v>R96078</v>
      </c>
    </row>
    <row r="144" spans="1:60" x14ac:dyDescent="0.25">
      <c r="A144">
        <v>112002</v>
      </c>
      <c r="B144" t="s">
        <v>508</v>
      </c>
      <c r="C144" t="s">
        <v>1112</v>
      </c>
      <c r="F144">
        <v>0</v>
      </c>
      <c r="G144">
        <v>222</v>
      </c>
      <c r="H144">
        <v>0</v>
      </c>
      <c r="I144">
        <v>0</v>
      </c>
      <c r="J144" t="s">
        <v>1727</v>
      </c>
      <c r="L144">
        <v>1</v>
      </c>
      <c r="M144">
        <v>1</v>
      </c>
      <c r="N144">
        <v>1</v>
      </c>
      <c r="O144">
        <v>0</v>
      </c>
      <c r="R144">
        <v>0</v>
      </c>
      <c r="U144">
        <v>1</v>
      </c>
      <c r="V144">
        <v>1.625</v>
      </c>
      <c r="W144">
        <v>0</v>
      </c>
      <c r="X144">
        <v>0.129</v>
      </c>
      <c r="Y144">
        <v>0</v>
      </c>
      <c r="Z144" t="s">
        <v>767</v>
      </c>
      <c r="AA144">
        <v>20</v>
      </c>
      <c r="AB144">
        <v>0.1</v>
      </c>
      <c r="AC144">
        <v>1</v>
      </c>
      <c r="AD144">
        <v>0</v>
      </c>
      <c r="AE144" s="329">
        <v>94.460080000000005</v>
      </c>
      <c r="AF144" s="329">
        <v>114.2967</v>
      </c>
      <c r="AG144">
        <v>3.5887099999999998</v>
      </c>
      <c r="AH144">
        <v>4.3064499999999999</v>
      </c>
      <c r="AI144">
        <v>18.37163</v>
      </c>
      <c r="AJ144" s="329">
        <v>1062.0817</v>
      </c>
      <c r="AL144">
        <v>0</v>
      </c>
      <c r="AQ144" t="s">
        <v>767</v>
      </c>
      <c r="AR144" t="s">
        <v>767</v>
      </c>
      <c r="AS144" t="s">
        <v>767</v>
      </c>
      <c r="AZ144">
        <v>0</v>
      </c>
      <c r="BA144" t="s">
        <v>1764</v>
      </c>
      <c r="BB144" t="s">
        <v>1491</v>
      </c>
      <c r="BC144" t="s">
        <v>1113</v>
      </c>
      <c r="BD144" t="s">
        <v>2055</v>
      </c>
      <c r="BE144" s="330">
        <v>43138.474398148152</v>
      </c>
      <c r="BH144" t="str">
        <f>VLOOKUP(B:B,výpočty!$Z$246:$Z$515,1,FALSE)</f>
        <v>R96072</v>
      </c>
    </row>
    <row r="145" spans="1:60" x14ac:dyDescent="0.25">
      <c r="A145">
        <v>112002</v>
      </c>
      <c r="B145" t="s">
        <v>511</v>
      </c>
      <c r="C145" t="s">
        <v>1116</v>
      </c>
      <c r="F145">
        <v>0</v>
      </c>
      <c r="G145">
        <v>222</v>
      </c>
      <c r="H145">
        <v>0</v>
      </c>
      <c r="I145">
        <v>0</v>
      </c>
      <c r="J145" t="s">
        <v>1727</v>
      </c>
      <c r="L145">
        <v>1</v>
      </c>
      <c r="M145">
        <v>1</v>
      </c>
      <c r="N145">
        <v>1</v>
      </c>
      <c r="O145">
        <v>0</v>
      </c>
      <c r="R145">
        <v>0</v>
      </c>
      <c r="U145">
        <v>1</v>
      </c>
      <c r="V145">
        <v>1.625</v>
      </c>
      <c r="W145">
        <v>0</v>
      </c>
      <c r="X145">
        <v>0.14099999999999999</v>
      </c>
      <c r="Y145">
        <v>0</v>
      </c>
      <c r="Z145" t="s">
        <v>767</v>
      </c>
      <c r="AA145">
        <v>20</v>
      </c>
      <c r="AB145">
        <v>0.1</v>
      </c>
      <c r="AC145">
        <v>1</v>
      </c>
      <c r="AD145">
        <v>0</v>
      </c>
      <c r="AE145" s="329">
        <v>159.72128000000001</v>
      </c>
      <c r="AF145" s="329">
        <v>193.26275000000001</v>
      </c>
      <c r="AG145">
        <v>6.0681099999999999</v>
      </c>
      <c r="AH145">
        <v>7.2817299999999996</v>
      </c>
      <c r="AI145">
        <v>31.064330000000002</v>
      </c>
      <c r="AJ145" s="329">
        <v>1795.8595</v>
      </c>
      <c r="AL145">
        <v>0</v>
      </c>
      <c r="AQ145" t="s">
        <v>767</v>
      </c>
      <c r="AR145" t="s">
        <v>767</v>
      </c>
      <c r="AS145" t="s">
        <v>767</v>
      </c>
      <c r="AZ145">
        <v>0</v>
      </c>
      <c r="BA145" t="s">
        <v>1118</v>
      </c>
      <c r="BB145" t="s">
        <v>1493</v>
      </c>
      <c r="BC145" t="s">
        <v>1117</v>
      </c>
      <c r="BD145" t="s">
        <v>2055</v>
      </c>
      <c r="BE145" s="330">
        <v>43138.474409722221</v>
      </c>
      <c r="BH145" t="str">
        <f>VLOOKUP(B:B,výpočty!$Z$246:$Z$515,1,FALSE)</f>
        <v>R96074</v>
      </c>
    </row>
    <row r="146" spans="1:60" x14ac:dyDescent="0.25">
      <c r="A146">
        <v>112002</v>
      </c>
      <c r="B146" t="s">
        <v>506</v>
      </c>
      <c r="C146" t="s">
        <v>1055</v>
      </c>
      <c r="F146">
        <v>0</v>
      </c>
      <c r="G146">
        <v>222</v>
      </c>
      <c r="H146">
        <v>0</v>
      </c>
      <c r="I146">
        <v>0</v>
      </c>
      <c r="J146" t="s">
        <v>1727</v>
      </c>
      <c r="L146">
        <v>1</v>
      </c>
      <c r="M146">
        <v>1</v>
      </c>
      <c r="N146">
        <v>1</v>
      </c>
      <c r="O146">
        <v>0</v>
      </c>
      <c r="R146">
        <v>0</v>
      </c>
      <c r="U146">
        <v>1</v>
      </c>
      <c r="V146">
        <v>1.625</v>
      </c>
      <c r="W146">
        <v>0</v>
      </c>
      <c r="X146">
        <v>3.4000000000000002E-2</v>
      </c>
      <c r="Y146">
        <v>0</v>
      </c>
      <c r="Z146" t="s">
        <v>767</v>
      </c>
      <c r="AA146">
        <v>20</v>
      </c>
      <c r="AB146">
        <v>2.5</v>
      </c>
      <c r="AC146">
        <v>1</v>
      </c>
      <c r="AD146">
        <v>0</v>
      </c>
      <c r="AE146">
        <v>87.193790000000007</v>
      </c>
      <c r="AF146">
        <v>105.50449</v>
      </c>
      <c r="AG146">
        <v>3.3126500000000001</v>
      </c>
      <c r="AH146">
        <v>3.9751799999999999</v>
      </c>
      <c r="AI146">
        <v>16.958390000000001</v>
      </c>
      <c r="AJ146">
        <v>980.38157000000001</v>
      </c>
      <c r="AL146">
        <v>0</v>
      </c>
      <c r="AQ146" t="s">
        <v>767</v>
      </c>
      <c r="AR146" t="s">
        <v>767</v>
      </c>
      <c r="AS146" t="s">
        <v>767</v>
      </c>
      <c r="AZ146">
        <v>0</v>
      </c>
      <c r="BA146" t="s">
        <v>1753</v>
      </c>
      <c r="BB146" t="s">
        <v>1466</v>
      </c>
      <c r="BC146" t="s">
        <v>1056</v>
      </c>
      <c r="BD146" t="s">
        <v>2055</v>
      </c>
      <c r="BE146" s="330">
        <v>43138.478321759256</v>
      </c>
      <c r="BH146" t="str">
        <f>VLOOKUP(B:B,výpočty!$Z$246:$Z$515,1,FALSE)</f>
        <v>R95826</v>
      </c>
    </row>
    <row r="147" spans="1:60" x14ac:dyDescent="0.25">
      <c r="A147">
        <v>112002</v>
      </c>
      <c r="B147" t="s">
        <v>611</v>
      </c>
      <c r="C147" t="s">
        <v>716</v>
      </c>
      <c r="F147">
        <v>0</v>
      </c>
      <c r="G147">
        <v>222</v>
      </c>
      <c r="H147">
        <v>0</v>
      </c>
      <c r="I147">
        <v>0</v>
      </c>
      <c r="J147" t="s">
        <v>1727</v>
      </c>
      <c r="L147">
        <v>1</v>
      </c>
      <c r="M147">
        <v>1</v>
      </c>
      <c r="N147">
        <v>1</v>
      </c>
      <c r="O147">
        <v>0</v>
      </c>
      <c r="R147">
        <v>0</v>
      </c>
      <c r="U147">
        <v>1</v>
      </c>
      <c r="V147">
        <v>1.625</v>
      </c>
      <c r="W147">
        <v>0</v>
      </c>
      <c r="X147">
        <v>3.4000000000000002E-2</v>
      </c>
      <c r="Y147">
        <v>0</v>
      </c>
      <c r="Z147" t="s">
        <v>767</v>
      </c>
      <c r="AA147">
        <v>20</v>
      </c>
      <c r="AB147">
        <v>2.5</v>
      </c>
      <c r="AC147">
        <v>1</v>
      </c>
      <c r="AD147">
        <v>0</v>
      </c>
      <c r="AE147">
        <v>87.193790000000007</v>
      </c>
      <c r="AF147">
        <v>105.50449</v>
      </c>
      <c r="AG147">
        <v>3.3126500000000001</v>
      </c>
      <c r="AH147">
        <v>3.9751799999999999</v>
      </c>
      <c r="AI147">
        <v>16.958390000000001</v>
      </c>
      <c r="AJ147" s="329">
        <v>980.38157000000001</v>
      </c>
      <c r="AL147">
        <v>0</v>
      </c>
      <c r="AQ147" t="s">
        <v>767</v>
      </c>
      <c r="AR147" t="s">
        <v>767</v>
      </c>
      <c r="AS147" t="s">
        <v>767</v>
      </c>
      <c r="AZ147">
        <v>0</v>
      </c>
      <c r="BA147" t="s">
        <v>1731</v>
      </c>
      <c r="BB147" t="s">
        <v>1365</v>
      </c>
      <c r="BC147" t="s">
        <v>717</v>
      </c>
      <c r="BD147" t="s">
        <v>2055</v>
      </c>
      <c r="BE147" s="330">
        <v>43138.478321759256</v>
      </c>
      <c r="BH147" t="str">
        <f>VLOOKUP(B:B,výpočty!$Z$246:$Z$515,1,FALSE)</f>
        <v>R00033</v>
      </c>
    </row>
    <row r="148" spans="1:60" x14ac:dyDescent="0.25">
      <c r="A148">
        <v>112002</v>
      </c>
      <c r="B148" t="s">
        <v>505</v>
      </c>
      <c r="C148" t="s">
        <v>1049</v>
      </c>
      <c r="F148">
        <v>0</v>
      </c>
      <c r="G148">
        <v>222</v>
      </c>
      <c r="H148">
        <v>0</v>
      </c>
      <c r="I148">
        <v>0</v>
      </c>
      <c r="J148" t="s">
        <v>1727</v>
      </c>
      <c r="L148">
        <v>1</v>
      </c>
      <c r="M148">
        <v>1</v>
      </c>
      <c r="N148">
        <v>1</v>
      </c>
      <c r="O148">
        <v>0</v>
      </c>
      <c r="R148">
        <v>0</v>
      </c>
      <c r="U148">
        <v>1</v>
      </c>
      <c r="V148">
        <v>1.625</v>
      </c>
      <c r="W148">
        <v>0</v>
      </c>
      <c r="X148">
        <v>3.4000000000000002E-2</v>
      </c>
      <c r="Y148">
        <v>0</v>
      </c>
      <c r="Z148" t="s">
        <v>767</v>
      </c>
      <c r="AA148">
        <v>20</v>
      </c>
      <c r="AB148">
        <v>2.5</v>
      </c>
      <c r="AC148">
        <v>1</v>
      </c>
      <c r="AD148">
        <v>0</v>
      </c>
      <c r="AE148">
        <v>66.631270000000001</v>
      </c>
      <c r="AF148">
        <v>80.623840000000001</v>
      </c>
      <c r="AG148">
        <v>2.53146</v>
      </c>
      <c r="AH148">
        <v>3.03775</v>
      </c>
      <c r="AI148">
        <v>12.95917</v>
      </c>
      <c r="AJ148" s="329">
        <v>749.18259</v>
      </c>
      <c r="AL148">
        <v>0</v>
      </c>
      <c r="AQ148" t="s">
        <v>767</v>
      </c>
      <c r="AR148" t="s">
        <v>767</v>
      </c>
      <c r="AS148" t="s">
        <v>767</v>
      </c>
      <c r="AZ148">
        <v>0</v>
      </c>
      <c r="BA148" t="s">
        <v>1050</v>
      </c>
      <c r="BB148" t="s">
        <v>1463</v>
      </c>
      <c r="BC148" t="s">
        <v>1049</v>
      </c>
      <c r="BD148" t="s">
        <v>2055</v>
      </c>
      <c r="BE148" s="330">
        <v>43138.46912037037</v>
      </c>
      <c r="BH148" t="str">
        <f>VLOOKUP(B:B,výpočty!$Z$246:$Z$515,1,FALSE)</f>
        <v>R95823</v>
      </c>
    </row>
    <row r="149" spans="1:60" x14ac:dyDescent="0.25">
      <c r="A149">
        <v>112002</v>
      </c>
      <c r="B149" t="s">
        <v>613</v>
      </c>
      <c r="C149" t="s">
        <v>794</v>
      </c>
      <c r="F149">
        <v>0</v>
      </c>
      <c r="G149">
        <v>222</v>
      </c>
      <c r="H149">
        <v>0</v>
      </c>
      <c r="I149">
        <v>0</v>
      </c>
      <c r="J149" t="s">
        <v>1727</v>
      </c>
      <c r="L149">
        <v>1</v>
      </c>
      <c r="M149">
        <v>1</v>
      </c>
      <c r="N149">
        <v>1</v>
      </c>
      <c r="O149">
        <v>0</v>
      </c>
      <c r="R149">
        <v>0</v>
      </c>
      <c r="U149">
        <v>1</v>
      </c>
      <c r="V149">
        <v>2.5000000000000001E-3</v>
      </c>
      <c r="W149">
        <v>2.5000000000000001E-3</v>
      </c>
      <c r="X149">
        <v>5.8999999999999997E-2</v>
      </c>
      <c r="Y149">
        <v>0</v>
      </c>
      <c r="Z149" t="s">
        <v>767</v>
      </c>
      <c r="AA149">
        <v>20</v>
      </c>
      <c r="AB149">
        <v>2.5</v>
      </c>
      <c r="AC149">
        <v>1</v>
      </c>
      <c r="AD149">
        <v>0</v>
      </c>
      <c r="AE149" s="329">
        <v>329.68711999999999</v>
      </c>
      <c r="AF149" s="329">
        <v>398.92142000000001</v>
      </c>
      <c r="AG149">
        <v>12.52544</v>
      </c>
      <c r="AH149">
        <v>15.030530000000001</v>
      </c>
      <c r="AI149">
        <v>64.121110000000002</v>
      </c>
      <c r="AJ149" s="329">
        <v>3706.9056999999998</v>
      </c>
      <c r="AL149">
        <v>0</v>
      </c>
      <c r="AQ149" t="s">
        <v>767</v>
      </c>
      <c r="AR149" t="s">
        <v>767</v>
      </c>
      <c r="AS149" t="s">
        <v>767</v>
      </c>
      <c r="AZ149">
        <v>0</v>
      </c>
      <c r="BA149" t="s">
        <v>795</v>
      </c>
      <c r="BB149" t="s">
        <v>1548</v>
      </c>
      <c r="BC149" t="s">
        <v>794</v>
      </c>
      <c r="BD149" t="s">
        <v>2058</v>
      </c>
      <c r="BE149" s="330">
        <v>43252.379432870373</v>
      </c>
      <c r="BH149" t="str">
        <f>VLOOKUP(B:B,výpočty!$Z$246:$Z$515,1,FALSE)</f>
        <v>R00064</v>
      </c>
    </row>
    <row r="150" spans="1:60" x14ac:dyDescent="0.25">
      <c r="A150">
        <v>112002</v>
      </c>
      <c r="B150" t="s">
        <v>504</v>
      </c>
      <c r="C150" t="s">
        <v>1057</v>
      </c>
      <c r="F150">
        <v>0</v>
      </c>
      <c r="G150">
        <v>222</v>
      </c>
      <c r="H150">
        <v>0</v>
      </c>
      <c r="I150">
        <v>0</v>
      </c>
      <c r="J150" t="s">
        <v>1727</v>
      </c>
      <c r="L150">
        <v>1</v>
      </c>
      <c r="M150">
        <v>1</v>
      </c>
      <c r="N150">
        <v>1</v>
      </c>
      <c r="O150">
        <v>0</v>
      </c>
      <c r="R150">
        <v>0</v>
      </c>
      <c r="U150">
        <v>1</v>
      </c>
      <c r="V150">
        <v>1.625</v>
      </c>
      <c r="W150">
        <v>0</v>
      </c>
      <c r="X150">
        <v>3.4000000000000002E-2</v>
      </c>
      <c r="Y150">
        <v>0</v>
      </c>
      <c r="Z150" t="s">
        <v>767</v>
      </c>
      <c r="AA150">
        <v>20</v>
      </c>
      <c r="AB150">
        <v>2.5</v>
      </c>
      <c r="AC150">
        <v>1</v>
      </c>
      <c r="AD150">
        <v>0</v>
      </c>
      <c r="AE150">
        <v>87.193790000000007</v>
      </c>
      <c r="AF150">
        <v>105.50449</v>
      </c>
      <c r="AG150">
        <v>3.3126500000000001</v>
      </c>
      <c r="AH150">
        <v>3.9751799999999999</v>
      </c>
      <c r="AI150">
        <v>16.958390000000001</v>
      </c>
      <c r="AJ150" s="329">
        <v>980.38157000000001</v>
      </c>
      <c r="AL150">
        <v>0</v>
      </c>
      <c r="AQ150" t="s">
        <v>767</v>
      </c>
      <c r="AR150" t="s">
        <v>767</v>
      </c>
      <c r="AS150" t="s">
        <v>767</v>
      </c>
      <c r="AZ150">
        <v>0</v>
      </c>
      <c r="BA150" t="s">
        <v>1058</v>
      </c>
      <c r="BB150" t="s">
        <v>1467</v>
      </c>
      <c r="BC150" t="s">
        <v>1057</v>
      </c>
      <c r="BD150" t="s">
        <v>2055</v>
      </c>
      <c r="BE150" s="330">
        <v>43138.470243055555</v>
      </c>
      <c r="BH150" t="str">
        <f>VLOOKUP(B:B,výpočty!$Z$246:$Z$515,1,FALSE)</f>
        <v>R95827</v>
      </c>
    </row>
    <row r="151" spans="1:60" x14ac:dyDescent="0.25">
      <c r="A151">
        <v>112002</v>
      </c>
      <c r="B151" t="s">
        <v>501</v>
      </c>
      <c r="C151" t="s">
        <v>1045</v>
      </c>
      <c r="F151">
        <v>0</v>
      </c>
      <c r="G151">
        <v>222</v>
      </c>
      <c r="H151">
        <v>0</v>
      </c>
      <c r="I151">
        <v>0</v>
      </c>
      <c r="J151" t="s">
        <v>1727</v>
      </c>
      <c r="L151">
        <v>1</v>
      </c>
      <c r="M151">
        <v>1</v>
      </c>
      <c r="N151">
        <v>1</v>
      </c>
      <c r="O151">
        <v>0</v>
      </c>
      <c r="R151">
        <v>0</v>
      </c>
      <c r="U151">
        <v>1</v>
      </c>
      <c r="V151">
        <v>1.625</v>
      </c>
      <c r="W151">
        <v>0</v>
      </c>
      <c r="X151">
        <v>3.4000000000000002E-2</v>
      </c>
      <c r="Y151">
        <v>0</v>
      </c>
      <c r="Z151" t="s">
        <v>767</v>
      </c>
      <c r="AA151">
        <v>20</v>
      </c>
      <c r="AB151">
        <v>2.5</v>
      </c>
      <c r="AC151">
        <v>1</v>
      </c>
      <c r="AD151">
        <v>0</v>
      </c>
      <c r="AE151">
        <v>66.631270000000001</v>
      </c>
      <c r="AF151">
        <v>80.623840000000001</v>
      </c>
      <c r="AG151">
        <v>2.53146</v>
      </c>
      <c r="AH151">
        <v>3.03775</v>
      </c>
      <c r="AI151">
        <v>12.95917</v>
      </c>
      <c r="AJ151" s="329">
        <v>749.18259</v>
      </c>
      <c r="AL151">
        <v>0</v>
      </c>
      <c r="AQ151" t="s">
        <v>767</v>
      </c>
      <c r="AR151" t="s">
        <v>767</v>
      </c>
      <c r="AS151" t="s">
        <v>767</v>
      </c>
      <c r="AZ151">
        <v>0</v>
      </c>
      <c r="BA151" t="s">
        <v>1751</v>
      </c>
      <c r="BB151" t="s">
        <v>1461</v>
      </c>
      <c r="BC151" t="s">
        <v>1046</v>
      </c>
      <c r="BD151" t="s">
        <v>2055</v>
      </c>
      <c r="BE151" s="330">
        <v>43138.471412037034</v>
      </c>
      <c r="BH151" t="str">
        <f>VLOOKUP(B:B,výpočty!$Z$246:$Z$515,1,FALSE)</f>
        <v>R95821</v>
      </c>
    </row>
    <row r="152" spans="1:60" x14ac:dyDescent="0.25">
      <c r="A152">
        <v>112002</v>
      </c>
      <c r="B152" t="s">
        <v>612</v>
      </c>
      <c r="C152" t="s">
        <v>718</v>
      </c>
      <c r="F152">
        <v>0</v>
      </c>
      <c r="G152">
        <v>222</v>
      </c>
      <c r="H152">
        <v>0</v>
      </c>
      <c r="I152">
        <v>0</v>
      </c>
      <c r="J152" t="s">
        <v>1727</v>
      </c>
      <c r="L152">
        <v>1</v>
      </c>
      <c r="M152">
        <v>1</v>
      </c>
      <c r="N152">
        <v>1</v>
      </c>
      <c r="O152">
        <v>0</v>
      </c>
      <c r="R152">
        <v>0</v>
      </c>
      <c r="U152">
        <v>1</v>
      </c>
      <c r="V152">
        <v>1.625</v>
      </c>
      <c r="W152">
        <v>0</v>
      </c>
      <c r="X152">
        <v>3.4000000000000002E-2</v>
      </c>
      <c r="Y152">
        <v>0</v>
      </c>
      <c r="Z152" t="s">
        <v>767</v>
      </c>
      <c r="AA152">
        <v>20</v>
      </c>
      <c r="AB152">
        <v>2.5</v>
      </c>
      <c r="AC152">
        <v>1</v>
      </c>
      <c r="AD152">
        <v>0</v>
      </c>
      <c r="AE152">
        <v>87.193790000000007</v>
      </c>
      <c r="AF152">
        <v>105.50449</v>
      </c>
      <c r="AG152">
        <v>3.3126500000000001</v>
      </c>
      <c r="AH152">
        <v>3.9751799999999999</v>
      </c>
      <c r="AI152">
        <v>16.958390000000001</v>
      </c>
      <c r="AJ152" s="329">
        <v>980.38157000000001</v>
      </c>
      <c r="AL152">
        <v>0</v>
      </c>
      <c r="AQ152" t="s">
        <v>767</v>
      </c>
      <c r="AR152" t="s">
        <v>767</v>
      </c>
      <c r="AS152" t="s">
        <v>767</v>
      </c>
      <c r="AZ152">
        <v>0</v>
      </c>
      <c r="BA152" t="s">
        <v>1732</v>
      </c>
      <c r="BB152" t="s">
        <v>1366</v>
      </c>
      <c r="BC152" t="s">
        <v>719</v>
      </c>
      <c r="BD152" t="s">
        <v>2055</v>
      </c>
      <c r="BE152" s="330">
        <v>43138.478333333333</v>
      </c>
      <c r="BH152" t="str">
        <f>VLOOKUP(B:B,výpočty!$Z$246:$Z$515,1,FALSE)</f>
        <v>R00034</v>
      </c>
    </row>
    <row r="153" spans="1:60" x14ac:dyDescent="0.25">
      <c r="A153">
        <v>112002</v>
      </c>
      <c r="B153" t="s">
        <v>500</v>
      </c>
      <c r="C153" t="s">
        <v>1053</v>
      </c>
      <c r="F153">
        <v>0</v>
      </c>
      <c r="G153">
        <v>222</v>
      </c>
      <c r="H153">
        <v>0</v>
      </c>
      <c r="I153">
        <v>0</v>
      </c>
      <c r="J153" t="s">
        <v>1727</v>
      </c>
      <c r="L153">
        <v>1</v>
      </c>
      <c r="M153">
        <v>1</v>
      </c>
      <c r="N153">
        <v>1</v>
      </c>
      <c r="O153">
        <v>0</v>
      </c>
      <c r="R153">
        <v>0</v>
      </c>
      <c r="U153">
        <v>1</v>
      </c>
      <c r="V153">
        <v>1.625</v>
      </c>
      <c r="W153">
        <v>0</v>
      </c>
      <c r="X153">
        <v>3.4000000000000002E-2</v>
      </c>
      <c r="Y153">
        <v>0</v>
      </c>
      <c r="Z153" t="s">
        <v>767</v>
      </c>
      <c r="AA153">
        <v>20</v>
      </c>
      <c r="AB153">
        <v>2.5</v>
      </c>
      <c r="AC153">
        <v>1</v>
      </c>
      <c r="AD153">
        <v>0</v>
      </c>
      <c r="AE153">
        <v>87.193790000000007</v>
      </c>
      <c r="AF153">
        <v>105.50449</v>
      </c>
      <c r="AG153">
        <v>3.3126500000000001</v>
      </c>
      <c r="AH153">
        <v>3.9751799999999999</v>
      </c>
      <c r="AI153">
        <v>16.958390000000001</v>
      </c>
      <c r="AJ153" s="329">
        <v>980.38157000000001</v>
      </c>
      <c r="AL153">
        <v>0</v>
      </c>
      <c r="AQ153" t="s">
        <v>767</v>
      </c>
      <c r="AR153" t="s">
        <v>767</v>
      </c>
      <c r="AS153" t="s">
        <v>767</v>
      </c>
      <c r="AZ153">
        <v>0</v>
      </c>
      <c r="BA153" t="s">
        <v>1054</v>
      </c>
      <c r="BB153" t="s">
        <v>1465</v>
      </c>
      <c r="BC153" t="s">
        <v>1053</v>
      </c>
      <c r="BD153" t="s">
        <v>2055</v>
      </c>
      <c r="BE153" s="330">
        <v>43138.46912037037</v>
      </c>
      <c r="BH153" t="str">
        <f>VLOOKUP(B:B,výpočty!$Z$246:$Z$515,1,FALSE)</f>
        <v>R95825</v>
      </c>
    </row>
    <row r="154" spans="1:60" x14ac:dyDescent="0.25">
      <c r="A154">
        <v>112002</v>
      </c>
      <c r="B154" t="s">
        <v>499</v>
      </c>
      <c r="C154" t="s">
        <v>1059</v>
      </c>
      <c r="F154">
        <v>0</v>
      </c>
      <c r="G154">
        <v>222</v>
      </c>
      <c r="H154">
        <v>0</v>
      </c>
      <c r="I154">
        <v>0</v>
      </c>
      <c r="J154" t="s">
        <v>1727</v>
      </c>
      <c r="L154">
        <v>1</v>
      </c>
      <c r="M154">
        <v>1</v>
      </c>
      <c r="N154">
        <v>1</v>
      </c>
      <c r="O154">
        <v>0</v>
      </c>
      <c r="R154">
        <v>0</v>
      </c>
      <c r="U154">
        <v>1</v>
      </c>
      <c r="V154">
        <v>1.625</v>
      </c>
      <c r="W154">
        <v>0</v>
      </c>
      <c r="X154">
        <v>3.4000000000000002E-2</v>
      </c>
      <c r="Y154">
        <v>0</v>
      </c>
      <c r="Z154" t="s">
        <v>767</v>
      </c>
      <c r="AA154">
        <v>20</v>
      </c>
      <c r="AB154">
        <v>2.5</v>
      </c>
      <c r="AC154">
        <v>1</v>
      </c>
      <c r="AD154">
        <v>0</v>
      </c>
      <c r="AE154">
        <v>87.193790000000007</v>
      </c>
      <c r="AF154">
        <v>105.50449</v>
      </c>
      <c r="AG154">
        <v>3.3126500000000001</v>
      </c>
      <c r="AH154">
        <v>3.9751799999999999</v>
      </c>
      <c r="AI154">
        <v>16.958390000000001</v>
      </c>
      <c r="AJ154" s="329">
        <v>980.38157000000001</v>
      </c>
      <c r="AL154">
        <v>0</v>
      </c>
      <c r="AQ154" t="s">
        <v>767</v>
      </c>
      <c r="AR154" t="s">
        <v>767</v>
      </c>
      <c r="AS154" t="s">
        <v>767</v>
      </c>
      <c r="AZ154">
        <v>0</v>
      </c>
      <c r="BA154" t="s">
        <v>1061</v>
      </c>
      <c r="BB154" t="s">
        <v>1468</v>
      </c>
      <c r="BC154" t="s">
        <v>1060</v>
      </c>
      <c r="BD154" t="s">
        <v>2055</v>
      </c>
      <c r="BE154" s="330">
        <v>43138.478321759256</v>
      </c>
      <c r="BH154" t="str">
        <f>VLOOKUP(B:B,výpočty!$Z$246:$Z$515,1,FALSE)</f>
        <v>R95828</v>
      </c>
    </row>
    <row r="155" spans="1:60" x14ac:dyDescent="0.25">
      <c r="A155">
        <v>112002</v>
      </c>
      <c r="B155" t="s">
        <v>498</v>
      </c>
      <c r="C155" t="s">
        <v>1047</v>
      </c>
      <c r="F155">
        <v>0</v>
      </c>
      <c r="G155">
        <v>222</v>
      </c>
      <c r="H155">
        <v>0</v>
      </c>
      <c r="I155">
        <v>0</v>
      </c>
      <c r="J155" t="s">
        <v>1727</v>
      </c>
      <c r="L155">
        <v>1</v>
      </c>
      <c r="M155">
        <v>1</v>
      </c>
      <c r="N155">
        <v>1</v>
      </c>
      <c r="O155">
        <v>0</v>
      </c>
      <c r="R155">
        <v>0</v>
      </c>
      <c r="U155">
        <v>1</v>
      </c>
      <c r="V155">
        <v>1.625</v>
      </c>
      <c r="W155">
        <v>0</v>
      </c>
      <c r="X155">
        <v>3.4000000000000002E-2</v>
      </c>
      <c r="Y155">
        <v>0</v>
      </c>
      <c r="Z155" t="s">
        <v>767</v>
      </c>
      <c r="AA155">
        <v>20</v>
      </c>
      <c r="AB155">
        <v>2.5</v>
      </c>
      <c r="AC155">
        <v>1</v>
      </c>
      <c r="AD155">
        <v>0</v>
      </c>
      <c r="AE155" s="329">
        <v>66.631270000000001</v>
      </c>
      <c r="AF155" s="329">
        <v>80.623840000000001</v>
      </c>
      <c r="AG155">
        <v>2.53146</v>
      </c>
      <c r="AH155">
        <v>3.03775</v>
      </c>
      <c r="AI155">
        <v>12.95917</v>
      </c>
      <c r="AJ155" s="329">
        <v>749.18259</v>
      </c>
      <c r="AL155">
        <v>0</v>
      </c>
      <c r="AQ155" t="s">
        <v>767</v>
      </c>
      <c r="AR155" t="s">
        <v>767</v>
      </c>
      <c r="AS155" t="s">
        <v>767</v>
      </c>
      <c r="AZ155">
        <v>0</v>
      </c>
      <c r="BA155" t="s">
        <v>1752</v>
      </c>
      <c r="BB155" t="s">
        <v>1462</v>
      </c>
      <c r="BC155" t="s">
        <v>1048</v>
      </c>
      <c r="BD155" t="s">
        <v>2055</v>
      </c>
      <c r="BE155" s="330">
        <v>43138.47142361111</v>
      </c>
      <c r="BH155" t="str">
        <f>VLOOKUP(B:B,výpočty!$Z$246:$Z$515,1,FALSE)</f>
        <v>R95822</v>
      </c>
    </row>
    <row r="156" spans="1:60" x14ac:dyDescent="0.25">
      <c r="A156">
        <v>112002</v>
      </c>
      <c r="B156" t="s">
        <v>502</v>
      </c>
      <c r="C156" t="s">
        <v>1062</v>
      </c>
      <c r="F156">
        <v>0</v>
      </c>
      <c r="G156">
        <v>222</v>
      </c>
      <c r="H156">
        <v>0</v>
      </c>
      <c r="I156">
        <v>0</v>
      </c>
      <c r="J156" t="s">
        <v>1727</v>
      </c>
      <c r="L156">
        <v>1</v>
      </c>
      <c r="M156">
        <v>1</v>
      </c>
      <c r="N156">
        <v>1</v>
      </c>
      <c r="O156">
        <v>0</v>
      </c>
      <c r="R156">
        <v>0</v>
      </c>
      <c r="U156">
        <v>1</v>
      </c>
      <c r="V156">
        <v>1.625</v>
      </c>
      <c r="W156">
        <v>0</v>
      </c>
      <c r="X156">
        <v>5.8999999999999997E-2</v>
      </c>
      <c r="Y156">
        <v>0</v>
      </c>
      <c r="Z156" t="s">
        <v>767</v>
      </c>
      <c r="AA156">
        <v>20</v>
      </c>
      <c r="AB156">
        <v>2.5</v>
      </c>
      <c r="AC156">
        <v>1</v>
      </c>
      <c r="AD156">
        <v>0</v>
      </c>
      <c r="AE156" s="329">
        <v>187.58</v>
      </c>
      <c r="AF156" s="329">
        <v>226.9718</v>
      </c>
      <c r="AG156">
        <v>7.1265299999999998</v>
      </c>
      <c r="AH156">
        <v>8.5518400000000003</v>
      </c>
      <c r="AI156">
        <v>36.482579999999999</v>
      </c>
      <c r="AJ156" s="329">
        <v>2109.0947900000001</v>
      </c>
      <c r="AL156">
        <v>0</v>
      </c>
      <c r="AQ156" t="s">
        <v>767</v>
      </c>
      <c r="AR156" t="s">
        <v>767</v>
      </c>
      <c r="AS156" t="s">
        <v>767</v>
      </c>
      <c r="AZ156">
        <v>0</v>
      </c>
      <c r="BA156" t="s">
        <v>1063</v>
      </c>
      <c r="BB156" t="s">
        <v>1469</v>
      </c>
      <c r="BC156" t="s">
        <v>1062</v>
      </c>
      <c r="BD156" t="s">
        <v>2055</v>
      </c>
      <c r="BE156" s="330">
        <v>43138.478333333333</v>
      </c>
      <c r="BH156" t="str">
        <f>VLOOKUP(B:B,výpočty!$Z$246:$Z$515,1,FALSE)</f>
        <v>R95829</v>
      </c>
    </row>
    <row r="157" spans="1:60" x14ac:dyDescent="0.25">
      <c r="A157">
        <v>112002</v>
      </c>
      <c r="B157" t="s">
        <v>503</v>
      </c>
      <c r="C157" t="s">
        <v>1051</v>
      </c>
      <c r="F157">
        <v>0</v>
      </c>
      <c r="G157">
        <v>222</v>
      </c>
      <c r="H157">
        <v>0</v>
      </c>
      <c r="I157">
        <v>0</v>
      </c>
      <c r="J157" t="s">
        <v>1727</v>
      </c>
      <c r="L157">
        <v>1</v>
      </c>
      <c r="M157">
        <v>1</v>
      </c>
      <c r="N157">
        <v>1</v>
      </c>
      <c r="O157">
        <v>0</v>
      </c>
      <c r="R157">
        <v>0</v>
      </c>
      <c r="U157">
        <v>1</v>
      </c>
      <c r="V157">
        <v>1.625</v>
      </c>
      <c r="W157">
        <v>0</v>
      </c>
      <c r="X157">
        <v>3.4000000000000002E-2</v>
      </c>
      <c r="Y157">
        <v>0</v>
      </c>
      <c r="Z157" t="s">
        <v>767</v>
      </c>
      <c r="AA157">
        <v>20</v>
      </c>
      <c r="AB157">
        <v>2.5</v>
      </c>
      <c r="AC157">
        <v>1</v>
      </c>
      <c r="AD157">
        <v>0</v>
      </c>
      <c r="AE157" s="329">
        <v>87.193790000000007</v>
      </c>
      <c r="AF157" s="329">
        <v>105.50449</v>
      </c>
      <c r="AG157">
        <v>3.3126500000000001</v>
      </c>
      <c r="AH157">
        <v>3.9751799999999999</v>
      </c>
      <c r="AI157">
        <v>16.958390000000001</v>
      </c>
      <c r="AJ157" s="329">
        <v>980.38157000000001</v>
      </c>
      <c r="AL157">
        <v>0</v>
      </c>
      <c r="AQ157" t="s">
        <v>767</v>
      </c>
      <c r="AR157" t="s">
        <v>767</v>
      </c>
      <c r="AS157" t="s">
        <v>767</v>
      </c>
      <c r="AZ157">
        <v>0</v>
      </c>
      <c r="BA157" t="s">
        <v>1052</v>
      </c>
      <c r="BB157" t="s">
        <v>1464</v>
      </c>
      <c r="BC157" t="s">
        <v>1051</v>
      </c>
      <c r="BD157" t="s">
        <v>2055</v>
      </c>
      <c r="BE157" s="330">
        <v>43138.470231481479</v>
      </c>
      <c r="BH157" t="str">
        <f>VLOOKUP(B:B,výpočty!$Z$246:$Z$515,1,FALSE)</f>
        <v>R95824</v>
      </c>
    </row>
    <row r="158" spans="1:60" x14ac:dyDescent="0.25">
      <c r="A158">
        <v>112002</v>
      </c>
      <c r="B158" t="s">
        <v>489</v>
      </c>
      <c r="C158" t="s">
        <v>1074</v>
      </c>
      <c r="F158">
        <v>0</v>
      </c>
      <c r="G158">
        <v>222</v>
      </c>
      <c r="H158">
        <v>0</v>
      </c>
      <c r="I158">
        <v>0</v>
      </c>
      <c r="J158" t="s">
        <v>1727</v>
      </c>
      <c r="L158">
        <v>1</v>
      </c>
      <c r="M158">
        <v>1</v>
      </c>
      <c r="N158">
        <v>1</v>
      </c>
      <c r="O158">
        <v>0</v>
      </c>
      <c r="R158">
        <v>0</v>
      </c>
      <c r="U158">
        <v>1</v>
      </c>
      <c r="V158">
        <v>1.625</v>
      </c>
      <c r="W158">
        <v>0</v>
      </c>
      <c r="X158">
        <v>9.2999999999999999E-2</v>
      </c>
      <c r="Y158">
        <v>0</v>
      </c>
      <c r="Z158" t="s">
        <v>767</v>
      </c>
      <c r="AA158">
        <v>20</v>
      </c>
      <c r="AB158">
        <v>2.5</v>
      </c>
      <c r="AC158">
        <v>1</v>
      </c>
      <c r="AD158">
        <v>0</v>
      </c>
      <c r="AE158" s="329">
        <v>85.958020000000005</v>
      </c>
      <c r="AF158" s="329">
        <v>104.00920000000001</v>
      </c>
      <c r="AG158">
        <v>3.2657099999999999</v>
      </c>
      <c r="AH158">
        <v>3.9188499999999999</v>
      </c>
      <c r="AI158">
        <v>16.718039999999998</v>
      </c>
      <c r="AJ158" s="329">
        <v>966.48698000000002</v>
      </c>
      <c r="AL158">
        <v>0</v>
      </c>
      <c r="AQ158" t="s">
        <v>767</v>
      </c>
      <c r="AR158" t="s">
        <v>767</v>
      </c>
      <c r="AS158" t="s">
        <v>767</v>
      </c>
      <c r="AZ158">
        <v>0</v>
      </c>
      <c r="BA158" t="s">
        <v>1075</v>
      </c>
      <c r="BB158" t="s">
        <v>1474</v>
      </c>
      <c r="BC158" t="s">
        <v>1074</v>
      </c>
      <c r="BD158" t="s">
        <v>2055</v>
      </c>
      <c r="BE158" s="330">
        <v>43138.470254629632</v>
      </c>
      <c r="BH158" t="str">
        <f>VLOOKUP(B:B,výpočty!$Z$246:$Z$515,1,FALSE)</f>
        <v>R95834</v>
      </c>
    </row>
    <row r="159" spans="1:60" x14ac:dyDescent="0.25">
      <c r="A159">
        <v>112002</v>
      </c>
      <c r="B159" t="s">
        <v>614</v>
      </c>
      <c r="C159" t="s">
        <v>796</v>
      </c>
      <c r="F159">
        <v>0</v>
      </c>
      <c r="G159">
        <v>222</v>
      </c>
      <c r="H159">
        <v>0</v>
      </c>
      <c r="I159">
        <v>0</v>
      </c>
      <c r="J159" t="s">
        <v>1727</v>
      </c>
      <c r="L159">
        <v>1</v>
      </c>
      <c r="M159">
        <v>1</v>
      </c>
      <c r="N159">
        <v>1</v>
      </c>
      <c r="O159">
        <v>0</v>
      </c>
      <c r="R159">
        <v>0</v>
      </c>
      <c r="U159">
        <v>1</v>
      </c>
      <c r="V159">
        <v>1.625</v>
      </c>
      <c r="W159">
        <v>0</v>
      </c>
      <c r="X159">
        <v>0.17699999999999999</v>
      </c>
      <c r="Y159">
        <v>0</v>
      </c>
      <c r="Z159" t="s">
        <v>767</v>
      </c>
      <c r="AA159">
        <v>20</v>
      </c>
      <c r="AB159">
        <v>2.5</v>
      </c>
      <c r="AC159">
        <v>1</v>
      </c>
      <c r="AD159">
        <v>0</v>
      </c>
      <c r="AE159" s="329">
        <v>412.66685999999999</v>
      </c>
      <c r="AF159" s="329">
        <v>499.32690000000002</v>
      </c>
      <c r="AG159">
        <v>15.67802</v>
      </c>
      <c r="AH159">
        <v>18.81362</v>
      </c>
      <c r="AI159">
        <v>80.259919999999994</v>
      </c>
      <c r="AJ159" s="329">
        <v>4639.9058699999996</v>
      </c>
      <c r="AL159">
        <v>0</v>
      </c>
      <c r="AQ159" t="s">
        <v>767</v>
      </c>
      <c r="AR159" t="s">
        <v>767</v>
      </c>
      <c r="AS159" t="s">
        <v>767</v>
      </c>
      <c r="AZ159">
        <v>0</v>
      </c>
      <c r="BA159" t="s">
        <v>1550</v>
      </c>
      <c r="BB159" t="s">
        <v>1549</v>
      </c>
      <c r="BC159" t="s">
        <v>796</v>
      </c>
      <c r="BD159" t="s">
        <v>2055</v>
      </c>
      <c r="BE159" s="330">
        <v>43138.433611111112</v>
      </c>
      <c r="BH159" t="str">
        <f>VLOOKUP(B:B,výpočty!$Z$246:$Z$515,1,FALSE)</f>
        <v>R00065</v>
      </c>
    </row>
    <row r="160" spans="1:60" x14ac:dyDescent="0.25">
      <c r="A160">
        <v>112002</v>
      </c>
      <c r="B160" t="s">
        <v>495</v>
      </c>
      <c r="C160" t="s">
        <v>1076</v>
      </c>
      <c r="F160">
        <v>0</v>
      </c>
      <c r="G160">
        <v>222</v>
      </c>
      <c r="H160">
        <v>0</v>
      </c>
      <c r="I160">
        <v>0</v>
      </c>
      <c r="J160" t="s">
        <v>1727</v>
      </c>
      <c r="L160">
        <v>1</v>
      </c>
      <c r="M160">
        <v>1</v>
      </c>
      <c r="N160">
        <v>1</v>
      </c>
      <c r="O160">
        <v>0</v>
      </c>
      <c r="R160">
        <v>0</v>
      </c>
      <c r="U160">
        <v>1</v>
      </c>
      <c r="V160">
        <v>1.625</v>
      </c>
      <c r="W160">
        <v>0</v>
      </c>
      <c r="X160">
        <v>9.2999999999999999E-2</v>
      </c>
      <c r="Y160">
        <v>0</v>
      </c>
      <c r="Z160" t="s">
        <v>767</v>
      </c>
      <c r="AA160">
        <v>20</v>
      </c>
      <c r="AB160">
        <v>2.5</v>
      </c>
      <c r="AC160">
        <v>1</v>
      </c>
      <c r="AD160">
        <v>0</v>
      </c>
      <c r="AE160">
        <v>238.72563</v>
      </c>
      <c r="AF160">
        <v>288.85800999999998</v>
      </c>
      <c r="AG160">
        <v>9.0696499999999993</v>
      </c>
      <c r="AH160">
        <v>10.88358</v>
      </c>
      <c r="AI160">
        <v>46.429940000000002</v>
      </c>
      <c r="AJ160" s="329">
        <v>2684.1614300000001</v>
      </c>
      <c r="AL160">
        <v>0</v>
      </c>
      <c r="AN160" t="s">
        <v>2116</v>
      </c>
      <c r="AQ160" t="s">
        <v>767</v>
      </c>
      <c r="AR160" t="s">
        <v>767</v>
      </c>
      <c r="AS160" t="s">
        <v>767</v>
      </c>
      <c r="AZ160">
        <v>0</v>
      </c>
      <c r="BA160" t="s">
        <v>1755</v>
      </c>
      <c r="BB160" t="s">
        <v>1475</v>
      </c>
      <c r="BC160" t="s">
        <v>1076</v>
      </c>
      <c r="BD160" t="s">
        <v>2055</v>
      </c>
      <c r="BE160" s="330">
        <v>43138.47142361111</v>
      </c>
      <c r="BH160" t="str">
        <f>VLOOKUP(B:B,výpočty!$Z$246:$Z$515,1,FALSE)</f>
        <v>R95835</v>
      </c>
    </row>
    <row r="161" spans="1:60" x14ac:dyDescent="0.25">
      <c r="A161">
        <v>112002</v>
      </c>
      <c r="B161" t="s">
        <v>493</v>
      </c>
      <c r="C161" t="s">
        <v>1070</v>
      </c>
      <c r="F161">
        <v>0</v>
      </c>
      <c r="G161">
        <v>222</v>
      </c>
      <c r="H161">
        <v>0</v>
      </c>
      <c r="I161">
        <v>0</v>
      </c>
      <c r="J161" t="s">
        <v>1727</v>
      </c>
      <c r="L161">
        <v>1</v>
      </c>
      <c r="M161">
        <v>1</v>
      </c>
      <c r="N161">
        <v>1</v>
      </c>
      <c r="O161">
        <v>0</v>
      </c>
      <c r="R161">
        <v>0</v>
      </c>
      <c r="U161">
        <v>1</v>
      </c>
      <c r="V161">
        <v>1.625</v>
      </c>
      <c r="W161">
        <v>0</v>
      </c>
      <c r="X161">
        <v>9.2999999999999999E-2</v>
      </c>
      <c r="Y161">
        <v>0</v>
      </c>
      <c r="Z161" t="s">
        <v>767</v>
      </c>
      <c r="AA161">
        <v>20</v>
      </c>
      <c r="AB161">
        <v>2.5</v>
      </c>
      <c r="AC161">
        <v>1</v>
      </c>
      <c r="AD161">
        <v>0</v>
      </c>
      <c r="AE161">
        <v>85.958020000000005</v>
      </c>
      <c r="AF161">
        <v>104.00920000000001</v>
      </c>
      <c r="AG161">
        <v>3.2657099999999999</v>
      </c>
      <c r="AH161">
        <v>3.9188499999999999</v>
      </c>
      <c r="AI161">
        <v>16.718039999999998</v>
      </c>
      <c r="AJ161" s="329">
        <v>966.48698000000002</v>
      </c>
      <c r="AL161">
        <v>0</v>
      </c>
      <c r="AQ161" t="s">
        <v>767</v>
      </c>
      <c r="AR161" t="s">
        <v>767</v>
      </c>
      <c r="AS161" t="s">
        <v>767</v>
      </c>
      <c r="AZ161">
        <v>0</v>
      </c>
      <c r="BA161" t="s">
        <v>1849</v>
      </c>
      <c r="BB161" t="s">
        <v>1472</v>
      </c>
      <c r="BC161" t="s">
        <v>1071</v>
      </c>
      <c r="BD161" t="s">
        <v>2055</v>
      </c>
      <c r="BE161" s="330">
        <v>43138.470254629632</v>
      </c>
      <c r="BH161" t="str">
        <f>VLOOKUP(B:B,výpočty!$Z$246:$Z$515,1,FALSE)</f>
        <v>R95832</v>
      </c>
    </row>
    <row r="162" spans="1:60" x14ac:dyDescent="0.25">
      <c r="A162">
        <v>112002</v>
      </c>
      <c r="B162" t="s">
        <v>491</v>
      </c>
      <c r="C162" t="s">
        <v>1081</v>
      </c>
      <c r="F162">
        <v>0</v>
      </c>
      <c r="G162">
        <v>222</v>
      </c>
      <c r="H162">
        <v>0</v>
      </c>
      <c r="I162">
        <v>0</v>
      </c>
      <c r="J162" t="s">
        <v>1727</v>
      </c>
      <c r="L162">
        <v>1</v>
      </c>
      <c r="M162">
        <v>1</v>
      </c>
      <c r="N162">
        <v>1</v>
      </c>
      <c r="O162">
        <v>0</v>
      </c>
      <c r="R162">
        <v>0</v>
      </c>
      <c r="U162">
        <v>1</v>
      </c>
      <c r="V162">
        <v>1.625</v>
      </c>
      <c r="W162">
        <v>0</v>
      </c>
      <c r="X162">
        <v>9.2999999999999999E-2</v>
      </c>
      <c r="Y162">
        <v>0</v>
      </c>
      <c r="Z162" t="s">
        <v>767</v>
      </c>
      <c r="AA162">
        <v>20</v>
      </c>
      <c r="AB162">
        <v>2.5</v>
      </c>
      <c r="AC162">
        <v>1</v>
      </c>
      <c r="AD162">
        <v>0</v>
      </c>
      <c r="AE162">
        <v>238.72563</v>
      </c>
      <c r="AF162">
        <v>288.85800999999998</v>
      </c>
      <c r="AG162">
        <v>9.0696499999999993</v>
      </c>
      <c r="AH162">
        <v>10.88358</v>
      </c>
      <c r="AI162">
        <v>46.429940000000002</v>
      </c>
      <c r="AJ162" s="329">
        <v>2684.1614300000001</v>
      </c>
      <c r="AL162">
        <v>0</v>
      </c>
      <c r="AQ162" t="s">
        <v>767</v>
      </c>
      <c r="AR162" t="s">
        <v>767</v>
      </c>
      <c r="AS162" t="s">
        <v>767</v>
      </c>
      <c r="AZ162">
        <v>0</v>
      </c>
      <c r="BA162" t="s">
        <v>1083</v>
      </c>
      <c r="BB162" t="s">
        <v>1478</v>
      </c>
      <c r="BC162" t="s">
        <v>1082</v>
      </c>
      <c r="BD162" t="s">
        <v>2055</v>
      </c>
      <c r="BE162" s="330">
        <v>43138.470266203702</v>
      </c>
      <c r="BH162" t="str">
        <f>VLOOKUP(B:B,výpočty!$Z$246:$Z$515,1,FALSE)</f>
        <v>R95839</v>
      </c>
    </row>
    <row r="163" spans="1:60" x14ac:dyDescent="0.25">
      <c r="A163">
        <v>112002</v>
      </c>
      <c r="B163" t="s">
        <v>490</v>
      </c>
      <c r="C163" t="s">
        <v>1072</v>
      </c>
      <c r="F163">
        <v>0</v>
      </c>
      <c r="G163">
        <v>222</v>
      </c>
      <c r="H163">
        <v>0</v>
      </c>
      <c r="I163">
        <v>0</v>
      </c>
      <c r="J163" t="s">
        <v>1727</v>
      </c>
      <c r="L163">
        <v>1</v>
      </c>
      <c r="M163">
        <v>1</v>
      </c>
      <c r="N163">
        <v>1</v>
      </c>
      <c r="O163">
        <v>0</v>
      </c>
      <c r="R163">
        <v>0</v>
      </c>
      <c r="U163">
        <v>1</v>
      </c>
      <c r="V163">
        <v>1.625</v>
      </c>
      <c r="W163">
        <v>0</v>
      </c>
      <c r="X163">
        <v>9.2999999999999999E-2</v>
      </c>
      <c r="Y163">
        <v>0</v>
      </c>
      <c r="Z163" t="s">
        <v>767</v>
      </c>
      <c r="AA163">
        <v>20</v>
      </c>
      <c r="AB163">
        <v>2.5</v>
      </c>
      <c r="AC163">
        <v>1</v>
      </c>
      <c r="AD163">
        <v>0</v>
      </c>
      <c r="AE163">
        <v>85.958020000000005</v>
      </c>
      <c r="AF163">
        <v>104.00920000000001</v>
      </c>
      <c r="AG163">
        <v>3.2657099999999999</v>
      </c>
      <c r="AH163">
        <v>3.9188499999999999</v>
      </c>
      <c r="AI163">
        <v>16.718039999999998</v>
      </c>
      <c r="AJ163" s="329">
        <v>966.48698000000002</v>
      </c>
      <c r="AL163">
        <v>0</v>
      </c>
      <c r="AQ163" t="s">
        <v>767</v>
      </c>
      <c r="AR163" t="s">
        <v>767</v>
      </c>
      <c r="AS163" t="s">
        <v>767</v>
      </c>
      <c r="AZ163">
        <v>0</v>
      </c>
      <c r="BA163" t="s">
        <v>1754</v>
      </c>
      <c r="BB163" t="s">
        <v>1473</v>
      </c>
      <c r="BC163" t="s">
        <v>1073</v>
      </c>
      <c r="BD163" t="s">
        <v>2055</v>
      </c>
      <c r="BE163" s="330">
        <v>43138.469131944446</v>
      </c>
      <c r="BH163" t="str">
        <f>VLOOKUP(B:B,výpočty!$Z$246:$Z$515,1,FALSE)</f>
        <v>R95833</v>
      </c>
    </row>
    <row r="164" spans="1:60" x14ac:dyDescent="0.25">
      <c r="A164">
        <v>112002</v>
      </c>
      <c r="B164" t="s">
        <v>494</v>
      </c>
      <c r="C164" t="s">
        <v>1034</v>
      </c>
      <c r="F164">
        <v>0</v>
      </c>
      <c r="G164">
        <v>222</v>
      </c>
      <c r="H164">
        <v>0</v>
      </c>
      <c r="I164">
        <v>0</v>
      </c>
      <c r="J164" t="s">
        <v>1727</v>
      </c>
      <c r="L164">
        <v>1</v>
      </c>
      <c r="M164">
        <v>1</v>
      </c>
      <c r="N164">
        <v>1</v>
      </c>
      <c r="O164">
        <v>0</v>
      </c>
      <c r="R164">
        <v>0</v>
      </c>
      <c r="U164">
        <v>1</v>
      </c>
      <c r="V164">
        <v>1.625</v>
      </c>
      <c r="W164">
        <v>0</v>
      </c>
      <c r="X164">
        <v>0.17699999999999999</v>
      </c>
      <c r="Y164">
        <v>0</v>
      </c>
      <c r="Z164" t="s">
        <v>767</v>
      </c>
      <c r="AA164">
        <v>20</v>
      </c>
      <c r="AB164">
        <v>2.5</v>
      </c>
      <c r="AC164">
        <v>1</v>
      </c>
      <c r="AD164">
        <v>0</v>
      </c>
      <c r="AE164">
        <v>233.05287000000001</v>
      </c>
      <c r="AF164">
        <v>281.99396999999999</v>
      </c>
      <c r="AG164">
        <v>8.85412</v>
      </c>
      <c r="AH164">
        <v>10.62494</v>
      </c>
      <c r="AI164">
        <v>45.326639999999998</v>
      </c>
      <c r="AJ164" s="329">
        <v>2620.3784099999998</v>
      </c>
      <c r="AL164">
        <v>0</v>
      </c>
      <c r="AQ164" t="s">
        <v>767</v>
      </c>
      <c r="AR164" t="s">
        <v>767</v>
      </c>
      <c r="AS164" t="s">
        <v>767</v>
      </c>
      <c r="AZ164">
        <v>0</v>
      </c>
      <c r="BA164" t="s">
        <v>1035</v>
      </c>
      <c r="BB164" t="s">
        <v>1457</v>
      </c>
      <c r="BC164" t="s">
        <v>1034</v>
      </c>
      <c r="BD164" t="s">
        <v>2055</v>
      </c>
      <c r="BE164" s="330">
        <v>43138.469131944446</v>
      </c>
      <c r="BH164" t="str">
        <f>VLOOKUP(B:B,výpočty!$Z$246:$Z$515,1,FALSE)</f>
        <v>R95816</v>
      </c>
    </row>
    <row r="165" spans="1:60" x14ac:dyDescent="0.25">
      <c r="A165">
        <v>112002</v>
      </c>
      <c r="B165" t="s">
        <v>486</v>
      </c>
      <c r="C165" t="s">
        <v>1022</v>
      </c>
      <c r="F165">
        <v>0</v>
      </c>
      <c r="G165">
        <v>222</v>
      </c>
      <c r="H165">
        <v>0</v>
      </c>
      <c r="I165">
        <v>0</v>
      </c>
      <c r="J165" t="s">
        <v>1727</v>
      </c>
      <c r="L165">
        <v>1</v>
      </c>
      <c r="M165">
        <v>1</v>
      </c>
      <c r="N165">
        <v>1</v>
      </c>
      <c r="O165">
        <v>0</v>
      </c>
      <c r="R165">
        <v>0</v>
      </c>
      <c r="U165">
        <v>1</v>
      </c>
      <c r="V165">
        <v>1.625</v>
      </c>
      <c r="W165">
        <v>0</v>
      </c>
      <c r="X165">
        <v>0.29799999999999999</v>
      </c>
      <c r="Y165">
        <v>0</v>
      </c>
      <c r="Z165" t="s">
        <v>767</v>
      </c>
      <c r="AA165">
        <v>20</v>
      </c>
      <c r="AB165">
        <v>0.1</v>
      </c>
      <c r="AC165">
        <v>1</v>
      </c>
      <c r="AD165">
        <v>0</v>
      </c>
      <c r="AE165">
        <v>163.69667000000001</v>
      </c>
      <c r="AF165">
        <v>198.07297</v>
      </c>
      <c r="AG165">
        <v>6.21915</v>
      </c>
      <c r="AH165">
        <v>7.4629799999999999</v>
      </c>
      <c r="AI165">
        <v>31.837499999999999</v>
      </c>
      <c r="AJ165" s="329">
        <v>1840.55773</v>
      </c>
      <c r="AL165">
        <v>0</v>
      </c>
      <c r="AQ165" t="s">
        <v>767</v>
      </c>
      <c r="AR165" t="s">
        <v>767</v>
      </c>
      <c r="AS165" t="s">
        <v>767</v>
      </c>
      <c r="AZ165">
        <v>0</v>
      </c>
      <c r="BA165" t="s">
        <v>1024</v>
      </c>
      <c r="BB165" t="s">
        <v>1453</v>
      </c>
      <c r="BC165" t="s">
        <v>1023</v>
      </c>
      <c r="BD165" t="s">
        <v>2055</v>
      </c>
      <c r="BE165" s="330">
        <v>43138.470393518517</v>
      </c>
      <c r="BH165" t="str">
        <f>VLOOKUP(B:B,výpočty!$Z$246:$Z$515,1,FALSE)</f>
        <v>R95795</v>
      </c>
    </row>
    <row r="166" spans="1:60" x14ac:dyDescent="0.25">
      <c r="A166">
        <v>112002</v>
      </c>
      <c r="B166" t="s">
        <v>482</v>
      </c>
      <c r="C166" t="s">
        <v>1017</v>
      </c>
      <c r="F166">
        <v>0</v>
      </c>
      <c r="G166">
        <v>222</v>
      </c>
      <c r="H166">
        <v>0</v>
      </c>
      <c r="I166">
        <v>0</v>
      </c>
      <c r="J166" t="s">
        <v>1727</v>
      </c>
      <c r="L166">
        <v>1</v>
      </c>
      <c r="M166">
        <v>1</v>
      </c>
      <c r="N166">
        <v>1</v>
      </c>
      <c r="O166">
        <v>0</v>
      </c>
      <c r="R166">
        <v>0</v>
      </c>
      <c r="U166">
        <v>1</v>
      </c>
      <c r="V166">
        <v>1.625</v>
      </c>
      <c r="W166">
        <v>0</v>
      </c>
      <c r="X166">
        <v>0.29799999999999999</v>
      </c>
      <c r="Y166">
        <v>0</v>
      </c>
      <c r="Z166" t="s">
        <v>767</v>
      </c>
      <c r="AA166">
        <v>20</v>
      </c>
      <c r="AB166">
        <v>0.1</v>
      </c>
      <c r="AC166">
        <v>1</v>
      </c>
      <c r="AD166">
        <v>1</v>
      </c>
      <c r="AE166">
        <v>163.69667000000001</v>
      </c>
      <c r="AF166">
        <v>198.07297</v>
      </c>
      <c r="AG166">
        <v>6.21915</v>
      </c>
      <c r="AH166">
        <v>7.4629799999999999</v>
      </c>
      <c r="AI166">
        <v>31.837499999999999</v>
      </c>
      <c r="AJ166" s="329">
        <v>1840.55773</v>
      </c>
      <c r="AL166">
        <v>0</v>
      </c>
      <c r="AQ166" t="s">
        <v>767</v>
      </c>
      <c r="AR166" t="s">
        <v>767</v>
      </c>
      <c r="AS166" t="s">
        <v>767</v>
      </c>
      <c r="AZ166">
        <v>0</v>
      </c>
      <c r="BA166" t="s">
        <v>1019</v>
      </c>
      <c r="BB166" t="s">
        <v>1451</v>
      </c>
      <c r="BC166" t="s">
        <v>1018</v>
      </c>
      <c r="BD166" t="s">
        <v>2055</v>
      </c>
      <c r="BE166" s="330">
        <v>43138.474432870367</v>
      </c>
      <c r="BH166" t="str">
        <f>VLOOKUP(B:B,výpočty!$Z$246:$Z$515,1,FALSE)</f>
        <v>R95793</v>
      </c>
    </row>
    <row r="167" spans="1:60" x14ac:dyDescent="0.25">
      <c r="A167">
        <v>112002</v>
      </c>
      <c r="B167" t="s">
        <v>478</v>
      </c>
      <c r="C167" t="s">
        <v>1020</v>
      </c>
      <c r="F167">
        <v>0</v>
      </c>
      <c r="G167">
        <v>222</v>
      </c>
      <c r="H167">
        <v>0</v>
      </c>
      <c r="I167">
        <v>0</v>
      </c>
      <c r="J167" t="s">
        <v>1727</v>
      </c>
      <c r="L167">
        <v>1</v>
      </c>
      <c r="M167">
        <v>1</v>
      </c>
      <c r="N167">
        <v>1</v>
      </c>
      <c r="O167">
        <v>0</v>
      </c>
      <c r="R167">
        <v>0</v>
      </c>
      <c r="U167">
        <v>1</v>
      </c>
      <c r="V167">
        <v>1.625</v>
      </c>
      <c r="W167">
        <v>0</v>
      </c>
      <c r="X167">
        <v>0.29799999999999999</v>
      </c>
      <c r="Y167">
        <v>0</v>
      </c>
      <c r="Z167" t="s">
        <v>767</v>
      </c>
      <c r="AA167">
        <v>20</v>
      </c>
      <c r="AB167">
        <v>0.1</v>
      </c>
      <c r="AC167">
        <v>1</v>
      </c>
      <c r="AD167">
        <v>0</v>
      </c>
      <c r="AE167">
        <v>163.69667000000001</v>
      </c>
      <c r="AF167">
        <v>198.07297</v>
      </c>
      <c r="AG167">
        <v>6.21915</v>
      </c>
      <c r="AH167">
        <v>7.4629799999999999</v>
      </c>
      <c r="AI167">
        <v>31.837499999999999</v>
      </c>
      <c r="AJ167" s="329">
        <v>1840.55773</v>
      </c>
      <c r="AL167">
        <v>0</v>
      </c>
      <c r="AN167" t="s">
        <v>2124</v>
      </c>
      <c r="AQ167" t="s">
        <v>767</v>
      </c>
      <c r="AR167" t="s">
        <v>767</v>
      </c>
      <c r="AS167" t="s">
        <v>767</v>
      </c>
      <c r="AZ167">
        <v>0</v>
      </c>
      <c r="BA167" t="s">
        <v>1860</v>
      </c>
      <c r="BB167" t="s">
        <v>1452</v>
      </c>
      <c r="BC167" t="s">
        <v>1021</v>
      </c>
      <c r="BD167" t="s">
        <v>2055</v>
      </c>
      <c r="BE167" s="330">
        <v>43138.474432870367</v>
      </c>
      <c r="BH167" t="str">
        <f>VLOOKUP(B:B,výpočty!$Z$246:$Z$515,1,FALSE)</f>
        <v>R95794</v>
      </c>
    </row>
    <row r="168" spans="1:60" x14ac:dyDescent="0.25">
      <c r="A168">
        <v>112002</v>
      </c>
      <c r="B168" t="s">
        <v>477</v>
      </c>
      <c r="C168" t="s">
        <v>970</v>
      </c>
      <c r="F168">
        <v>0</v>
      </c>
      <c r="G168">
        <v>222</v>
      </c>
      <c r="H168">
        <v>0</v>
      </c>
      <c r="I168">
        <v>0</v>
      </c>
      <c r="J168" t="s">
        <v>1727</v>
      </c>
      <c r="L168">
        <v>1</v>
      </c>
      <c r="M168">
        <v>1</v>
      </c>
      <c r="N168">
        <v>1</v>
      </c>
      <c r="O168">
        <v>0</v>
      </c>
      <c r="R168">
        <v>0</v>
      </c>
      <c r="U168">
        <v>1</v>
      </c>
      <c r="V168">
        <v>0.65</v>
      </c>
      <c r="W168">
        <v>0</v>
      </c>
      <c r="X168">
        <v>0.25</v>
      </c>
      <c r="Y168">
        <v>0</v>
      </c>
      <c r="Z168" t="s">
        <v>767</v>
      </c>
      <c r="AA168">
        <v>50</v>
      </c>
      <c r="AB168">
        <v>0.1</v>
      </c>
      <c r="AC168">
        <v>1</v>
      </c>
      <c r="AD168">
        <v>0</v>
      </c>
      <c r="AE168">
        <v>917.16854000000001</v>
      </c>
      <c r="AF168" s="329">
        <v>1109.7739300000001</v>
      </c>
      <c r="AG168">
        <v>34.844990000000003</v>
      </c>
      <c r="AH168">
        <v>41.813989999999997</v>
      </c>
      <c r="AI168">
        <v>178.38086000000001</v>
      </c>
      <c r="AJ168" s="329">
        <v>10312.375550000001</v>
      </c>
      <c r="AL168">
        <v>0</v>
      </c>
      <c r="AQ168" t="s">
        <v>767</v>
      </c>
      <c r="AR168" t="s">
        <v>767</v>
      </c>
      <c r="AS168" t="s">
        <v>767</v>
      </c>
      <c r="AZ168">
        <v>0</v>
      </c>
      <c r="BA168" t="s">
        <v>972</v>
      </c>
      <c r="BB168" t="s">
        <v>1443</v>
      </c>
      <c r="BC168" t="s">
        <v>971</v>
      </c>
      <c r="BD168" t="s">
        <v>2055</v>
      </c>
      <c r="BE168" s="330">
        <v>43138.469317129631</v>
      </c>
      <c r="BH168" t="str">
        <f>VLOOKUP(B:B,výpočty!$Z$246:$Z$515,1,FALSE)</f>
        <v>R92842</v>
      </c>
    </row>
    <row r="169" spans="1:60" x14ac:dyDescent="0.25">
      <c r="A169">
        <v>112002</v>
      </c>
      <c r="B169" t="s">
        <v>485</v>
      </c>
      <c r="C169" t="s">
        <v>1042</v>
      </c>
      <c r="F169">
        <v>0</v>
      </c>
      <c r="G169">
        <v>222</v>
      </c>
      <c r="H169">
        <v>0</v>
      </c>
      <c r="I169">
        <v>0</v>
      </c>
      <c r="J169" t="s">
        <v>1727</v>
      </c>
      <c r="L169">
        <v>1</v>
      </c>
      <c r="M169">
        <v>1</v>
      </c>
      <c r="N169">
        <v>1</v>
      </c>
      <c r="O169">
        <v>0</v>
      </c>
      <c r="R169">
        <v>0</v>
      </c>
      <c r="U169">
        <v>1</v>
      </c>
      <c r="V169">
        <v>1.625</v>
      </c>
      <c r="W169">
        <v>0</v>
      </c>
      <c r="X169">
        <v>0.44600000000000001</v>
      </c>
      <c r="Y169">
        <v>0</v>
      </c>
      <c r="Z169" t="s">
        <v>767</v>
      </c>
      <c r="AA169">
        <v>20</v>
      </c>
      <c r="AB169">
        <v>0.1</v>
      </c>
      <c r="AC169">
        <v>1</v>
      </c>
      <c r="AD169">
        <v>0</v>
      </c>
      <c r="AE169">
        <v>351.27668</v>
      </c>
      <c r="AF169">
        <v>425.04478</v>
      </c>
      <c r="AG169">
        <v>13.34567</v>
      </c>
      <c r="AH169">
        <v>16.014800000000001</v>
      </c>
      <c r="AI169">
        <v>68.320099999999996</v>
      </c>
      <c r="AJ169" s="329">
        <v>3949.6525200000001</v>
      </c>
      <c r="AL169">
        <v>0</v>
      </c>
      <c r="AQ169" t="s">
        <v>767</v>
      </c>
      <c r="AR169" t="s">
        <v>767</v>
      </c>
      <c r="AS169" t="s">
        <v>767</v>
      </c>
      <c r="AZ169">
        <v>0</v>
      </c>
      <c r="BA169" t="s">
        <v>1044</v>
      </c>
      <c r="BB169" t="s">
        <v>1460</v>
      </c>
      <c r="BC169" t="s">
        <v>1043</v>
      </c>
      <c r="BD169" t="s">
        <v>2055</v>
      </c>
      <c r="BE169" s="330">
        <v>43138.470405092594</v>
      </c>
      <c r="BH169" t="str">
        <f>VLOOKUP(B:B,výpočty!$Z$246:$Z$515,1,FALSE)</f>
        <v>R95820</v>
      </c>
    </row>
    <row r="170" spans="1:60" x14ac:dyDescent="0.25">
      <c r="A170">
        <v>112002</v>
      </c>
      <c r="B170" t="s">
        <v>475</v>
      </c>
      <c r="C170" t="s">
        <v>1556</v>
      </c>
      <c r="F170">
        <v>0</v>
      </c>
      <c r="G170">
        <v>222</v>
      </c>
      <c r="H170">
        <v>0</v>
      </c>
      <c r="I170">
        <v>0</v>
      </c>
      <c r="J170" t="s">
        <v>1727</v>
      </c>
      <c r="L170">
        <v>1</v>
      </c>
      <c r="M170">
        <v>1</v>
      </c>
      <c r="N170">
        <v>1</v>
      </c>
      <c r="O170">
        <v>0</v>
      </c>
      <c r="R170">
        <v>0</v>
      </c>
      <c r="U170">
        <v>1</v>
      </c>
      <c r="V170">
        <v>0.65</v>
      </c>
      <c r="W170">
        <v>0</v>
      </c>
      <c r="X170">
        <v>0.25</v>
      </c>
      <c r="Y170">
        <v>0</v>
      </c>
      <c r="Z170" t="s">
        <v>767</v>
      </c>
      <c r="AA170">
        <v>50</v>
      </c>
      <c r="AB170">
        <v>0.1</v>
      </c>
      <c r="AC170">
        <v>1</v>
      </c>
      <c r="AD170">
        <v>0</v>
      </c>
      <c r="AE170">
        <v>664.45479999999998</v>
      </c>
      <c r="AF170">
        <v>803.99031000000002</v>
      </c>
      <c r="AG170">
        <v>25.24391</v>
      </c>
      <c r="AH170">
        <v>30.29269</v>
      </c>
      <c r="AI170">
        <v>129.23034999999999</v>
      </c>
      <c r="AJ170" s="329">
        <v>7470.9358000000002</v>
      </c>
      <c r="AL170">
        <v>0</v>
      </c>
      <c r="AQ170" t="s">
        <v>767</v>
      </c>
      <c r="AR170" t="s">
        <v>767</v>
      </c>
      <c r="AS170" t="s">
        <v>767</v>
      </c>
      <c r="AZ170">
        <v>0</v>
      </c>
      <c r="BA170" t="s">
        <v>969</v>
      </c>
      <c r="BB170" t="s">
        <v>1558</v>
      </c>
      <c r="BC170" t="s">
        <v>1557</v>
      </c>
      <c r="BD170" t="s">
        <v>2055</v>
      </c>
      <c r="BE170" s="330">
        <v>43138.470416666663</v>
      </c>
      <c r="BH170" t="str">
        <f>VLOOKUP(B:B,výpočty!$Z$246:$Z$515,1,FALSE)</f>
        <v>R92841</v>
      </c>
    </row>
    <row r="171" spans="1:60" x14ac:dyDescent="0.25">
      <c r="A171">
        <v>112002</v>
      </c>
      <c r="B171" t="s">
        <v>615</v>
      </c>
      <c r="C171" t="s">
        <v>797</v>
      </c>
      <c r="F171">
        <v>0</v>
      </c>
      <c r="G171">
        <v>222</v>
      </c>
      <c r="H171">
        <v>0</v>
      </c>
      <c r="I171">
        <v>0</v>
      </c>
      <c r="J171" t="s">
        <v>1727</v>
      </c>
      <c r="L171">
        <v>1</v>
      </c>
      <c r="M171">
        <v>1</v>
      </c>
      <c r="N171">
        <v>1</v>
      </c>
      <c r="O171">
        <v>0</v>
      </c>
      <c r="R171">
        <v>0</v>
      </c>
      <c r="U171">
        <v>1</v>
      </c>
      <c r="V171">
        <v>1.625</v>
      </c>
      <c r="W171">
        <v>0</v>
      </c>
      <c r="X171">
        <v>0.34200000000000003</v>
      </c>
      <c r="Y171">
        <v>0</v>
      </c>
      <c r="Z171" t="s">
        <v>767</v>
      </c>
      <c r="AA171">
        <v>20</v>
      </c>
      <c r="AB171">
        <v>0.1</v>
      </c>
      <c r="AC171">
        <v>1</v>
      </c>
      <c r="AD171">
        <v>0</v>
      </c>
      <c r="AE171">
        <v>562.71007999999995</v>
      </c>
      <c r="AF171">
        <v>680.87919999999997</v>
      </c>
      <c r="AG171">
        <v>21.378440000000001</v>
      </c>
      <c r="AH171">
        <v>25.654129999999999</v>
      </c>
      <c r="AI171">
        <v>109.44195000000001</v>
      </c>
      <c r="AJ171" s="329">
        <v>6326.9479700000002</v>
      </c>
      <c r="AL171">
        <v>0</v>
      </c>
      <c r="AQ171" t="s">
        <v>767</v>
      </c>
      <c r="AR171" t="s">
        <v>767</v>
      </c>
      <c r="AS171" t="s">
        <v>767</v>
      </c>
      <c r="AZ171">
        <v>0</v>
      </c>
      <c r="BA171" t="s">
        <v>1552</v>
      </c>
      <c r="BB171" t="s">
        <v>1551</v>
      </c>
      <c r="BC171" t="s">
        <v>798</v>
      </c>
      <c r="BD171" t="s">
        <v>2055</v>
      </c>
      <c r="BE171" s="330">
        <v>43138.433622685188</v>
      </c>
      <c r="BH171" t="str">
        <f>VLOOKUP(B:B,výpočty!$Z$246:$Z$515,1,FALSE)</f>
        <v>R00066</v>
      </c>
    </row>
    <row r="172" spans="1:60" x14ac:dyDescent="0.25">
      <c r="A172">
        <v>112002</v>
      </c>
      <c r="B172" t="s">
        <v>488</v>
      </c>
      <c r="C172" t="s">
        <v>921</v>
      </c>
      <c r="F172">
        <v>0</v>
      </c>
      <c r="G172">
        <v>222</v>
      </c>
      <c r="H172">
        <v>0</v>
      </c>
      <c r="I172">
        <v>0</v>
      </c>
      <c r="J172" t="s">
        <v>1727</v>
      </c>
      <c r="L172">
        <v>1</v>
      </c>
      <c r="M172">
        <v>1</v>
      </c>
      <c r="N172">
        <v>1</v>
      </c>
      <c r="O172">
        <v>0</v>
      </c>
      <c r="R172">
        <v>0</v>
      </c>
      <c r="U172">
        <v>1</v>
      </c>
      <c r="V172">
        <v>1.625</v>
      </c>
      <c r="W172">
        <v>0</v>
      </c>
      <c r="X172">
        <v>0.29799999999999999</v>
      </c>
      <c r="Y172">
        <v>0</v>
      </c>
      <c r="Z172" t="s">
        <v>767</v>
      </c>
      <c r="AA172">
        <v>20</v>
      </c>
      <c r="AB172">
        <v>0.1</v>
      </c>
      <c r="AC172">
        <v>1</v>
      </c>
      <c r="AD172">
        <v>0</v>
      </c>
      <c r="AE172">
        <v>221.67742999999999</v>
      </c>
      <c r="AF172">
        <v>268.22969000000001</v>
      </c>
      <c r="AG172">
        <v>8.4219500000000007</v>
      </c>
      <c r="AH172">
        <v>10.106339999999999</v>
      </c>
      <c r="AI172">
        <v>43.11421</v>
      </c>
      <c r="AJ172" s="329">
        <v>2492.4764300000002</v>
      </c>
      <c r="AL172">
        <v>0</v>
      </c>
      <c r="AQ172" t="s">
        <v>767</v>
      </c>
      <c r="AR172" t="s">
        <v>767</v>
      </c>
      <c r="AS172" t="s">
        <v>767</v>
      </c>
      <c r="AZ172">
        <v>0</v>
      </c>
      <c r="BA172" t="s">
        <v>923</v>
      </c>
      <c r="BB172" t="s">
        <v>1424</v>
      </c>
      <c r="BC172" t="s">
        <v>922</v>
      </c>
      <c r="BD172" t="s">
        <v>2055</v>
      </c>
      <c r="BE172" s="330">
        <v>43138.478472222225</v>
      </c>
      <c r="BH172" t="str">
        <f>VLOOKUP(B:B,výpočty!$Z$246:$Z$515,1,FALSE)</f>
        <v>R92811</v>
      </c>
    </row>
    <row r="173" spans="1:60" x14ac:dyDescent="0.25">
      <c r="A173">
        <v>112002</v>
      </c>
      <c r="B173" t="s">
        <v>487</v>
      </c>
      <c r="C173" t="s">
        <v>824</v>
      </c>
      <c r="F173">
        <v>0</v>
      </c>
      <c r="G173">
        <v>222</v>
      </c>
      <c r="H173">
        <v>0</v>
      </c>
      <c r="I173">
        <v>0</v>
      </c>
      <c r="J173" t="s">
        <v>1727</v>
      </c>
      <c r="L173">
        <v>1</v>
      </c>
      <c r="M173">
        <v>1</v>
      </c>
      <c r="N173">
        <v>1</v>
      </c>
      <c r="O173">
        <v>0</v>
      </c>
      <c r="R173">
        <v>0</v>
      </c>
      <c r="U173">
        <v>1</v>
      </c>
      <c r="V173">
        <v>1.625</v>
      </c>
      <c r="W173">
        <v>0</v>
      </c>
      <c r="X173">
        <v>0.29799999999999999</v>
      </c>
      <c r="Y173">
        <v>0</v>
      </c>
      <c r="Z173" t="s">
        <v>767</v>
      </c>
      <c r="AA173">
        <v>20</v>
      </c>
      <c r="AB173">
        <v>0.1</v>
      </c>
      <c r="AC173">
        <v>1</v>
      </c>
      <c r="AD173">
        <v>0</v>
      </c>
      <c r="AE173">
        <v>221.67742999999999</v>
      </c>
      <c r="AF173">
        <v>268.22969000000001</v>
      </c>
      <c r="AG173">
        <v>8.4219500000000007</v>
      </c>
      <c r="AH173">
        <v>10.106339999999999</v>
      </c>
      <c r="AI173">
        <v>43.11421</v>
      </c>
      <c r="AJ173" s="329">
        <v>2492.4764300000002</v>
      </c>
      <c r="AL173">
        <v>0</v>
      </c>
      <c r="AQ173" t="s">
        <v>767</v>
      </c>
      <c r="AR173" t="s">
        <v>767</v>
      </c>
      <c r="AS173" t="s">
        <v>767</v>
      </c>
      <c r="AZ173">
        <v>0</v>
      </c>
      <c r="BA173" t="s">
        <v>826</v>
      </c>
      <c r="BB173" t="s">
        <v>1388</v>
      </c>
      <c r="BC173" t="s">
        <v>825</v>
      </c>
      <c r="BD173" t="s">
        <v>2055</v>
      </c>
      <c r="BE173" s="330">
        <v>43138.478483796294</v>
      </c>
      <c r="BH173" t="str">
        <f>VLOOKUP(B:B,výpočty!$Z$246:$Z$515,1,FALSE)</f>
        <v>R84082</v>
      </c>
    </row>
    <row r="174" spans="1:60" x14ac:dyDescent="0.25">
      <c r="A174">
        <v>112002</v>
      </c>
      <c r="B174" t="s">
        <v>484</v>
      </c>
      <c r="C174" t="s">
        <v>1025</v>
      </c>
      <c r="F174">
        <v>0</v>
      </c>
      <c r="G174">
        <v>222</v>
      </c>
      <c r="H174">
        <v>0</v>
      </c>
      <c r="I174">
        <v>0</v>
      </c>
      <c r="J174" t="s">
        <v>1727</v>
      </c>
      <c r="L174">
        <v>1</v>
      </c>
      <c r="M174">
        <v>1</v>
      </c>
      <c r="N174">
        <v>1</v>
      </c>
      <c r="O174">
        <v>0</v>
      </c>
      <c r="R174">
        <v>0</v>
      </c>
      <c r="U174">
        <v>1</v>
      </c>
      <c r="V174">
        <v>1.625</v>
      </c>
      <c r="W174">
        <v>0</v>
      </c>
      <c r="X174">
        <v>0.29799999999999999</v>
      </c>
      <c r="Y174">
        <v>0</v>
      </c>
      <c r="Z174" t="s">
        <v>767</v>
      </c>
      <c r="AA174">
        <v>20</v>
      </c>
      <c r="AB174">
        <v>0.1</v>
      </c>
      <c r="AC174">
        <v>1</v>
      </c>
      <c r="AD174">
        <v>0</v>
      </c>
      <c r="AE174">
        <v>221.67742999999999</v>
      </c>
      <c r="AF174">
        <v>268.22969000000001</v>
      </c>
      <c r="AG174">
        <v>8.4219500000000007</v>
      </c>
      <c r="AH174">
        <v>10.106339999999999</v>
      </c>
      <c r="AI174">
        <v>43.11421</v>
      </c>
      <c r="AJ174" s="329">
        <v>2492.4764300000002</v>
      </c>
      <c r="AL174">
        <v>0</v>
      </c>
      <c r="AQ174" t="s">
        <v>767</v>
      </c>
      <c r="AR174" t="s">
        <v>767</v>
      </c>
      <c r="AS174" t="s">
        <v>767</v>
      </c>
      <c r="AZ174">
        <v>0</v>
      </c>
      <c r="BA174" t="s">
        <v>1027</v>
      </c>
      <c r="BB174" t="s">
        <v>1454</v>
      </c>
      <c r="BC174" t="s">
        <v>1026</v>
      </c>
      <c r="BD174" t="s">
        <v>2055</v>
      </c>
      <c r="BE174" s="330">
        <v>43138.469282407408</v>
      </c>
      <c r="BH174" t="str">
        <f>VLOOKUP(B:B,výpočty!$Z$246:$Z$515,1,FALSE)</f>
        <v>R95796</v>
      </c>
    </row>
    <row r="175" spans="1:60" x14ac:dyDescent="0.25">
      <c r="A175">
        <v>112002</v>
      </c>
      <c r="B175" t="s">
        <v>483</v>
      </c>
      <c r="C175" t="s">
        <v>930</v>
      </c>
      <c r="F175">
        <v>0</v>
      </c>
      <c r="G175">
        <v>222</v>
      </c>
      <c r="H175">
        <v>0</v>
      </c>
      <c r="I175">
        <v>0</v>
      </c>
      <c r="J175" t="s">
        <v>1727</v>
      </c>
      <c r="L175">
        <v>1</v>
      </c>
      <c r="M175">
        <v>1</v>
      </c>
      <c r="N175">
        <v>1</v>
      </c>
      <c r="O175">
        <v>0</v>
      </c>
      <c r="R175">
        <v>0</v>
      </c>
      <c r="U175">
        <v>1</v>
      </c>
      <c r="V175">
        <v>1.625</v>
      </c>
      <c r="W175">
        <v>0</v>
      </c>
      <c r="X175">
        <v>0.29799999999999999</v>
      </c>
      <c r="Y175">
        <v>0</v>
      </c>
      <c r="Z175" t="s">
        <v>767</v>
      </c>
      <c r="AA175">
        <v>20</v>
      </c>
      <c r="AB175">
        <v>0.1</v>
      </c>
      <c r="AC175">
        <v>1</v>
      </c>
      <c r="AD175">
        <v>0</v>
      </c>
      <c r="AE175">
        <v>221.67742999999999</v>
      </c>
      <c r="AF175">
        <v>268.22969000000001</v>
      </c>
      <c r="AG175">
        <v>8.4219500000000007</v>
      </c>
      <c r="AH175">
        <v>10.106339999999999</v>
      </c>
      <c r="AI175">
        <v>43.11421</v>
      </c>
      <c r="AJ175" s="329">
        <v>2492.4764300000002</v>
      </c>
      <c r="AL175">
        <v>0</v>
      </c>
      <c r="AQ175" t="s">
        <v>767</v>
      </c>
      <c r="AR175" t="s">
        <v>767</v>
      </c>
      <c r="AS175" t="s">
        <v>767</v>
      </c>
      <c r="AZ175">
        <v>0</v>
      </c>
      <c r="BA175" t="s">
        <v>932</v>
      </c>
      <c r="BB175" t="s">
        <v>1427</v>
      </c>
      <c r="BC175" t="s">
        <v>931</v>
      </c>
      <c r="BD175" t="s">
        <v>2055</v>
      </c>
      <c r="BE175" s="330">
        <v>43138.469282407408</v>
      </c>
      <c r="BH175" t="str">
        <f>VLOOKUP(B:B,výpočty!$Z$246:$Z$515,1,FALSE)</f>
        <v>R92819</v>
      </c>
    </row>
    <row r="176" spans="1:60" x14ac:dyDescent="0.25">
      <c r="A176">
        <v>112002</v>
      </c>
      <c r="B176" t="s">
        <v>481</v>
      </c>
      <c r="C176" t="s">
        <v>827</v>
      </c>
      <c r="F176">
        <v>0</v>
      </c>
      <c r="G176">
        <v>222</v>
      </c>
      <c r="H176">
        <v>0</v>
      </c>
      <c r="I176">
        <v>0</v>
      </c>
      <c r="J176" t="s">
        <v>1727</v>
      </c>
      <c r="L176">
        <v>1</v>
      </c>
      <c r="M176">
        <v>1</v>
      </c>
      <c r="N176">
        <v>1</v>
      </c>
      <c r="O176">
        <v>0</v>
      </c>
      <c r="R176">
        <v>0</v>
      </c>
      <c r="U176">
        <v>1</v>
      </c>
      <c r="V176">
        <v>1.625</v>
      </c>
      <c r="W176">
        <v>0</v>
      </c>
      <c r="X176">
        <v>0.29799999999999999</v>
      </c>
      <c r="Y176">
        <v>0</v>
      </c>
      <c r="Z176" t="s">
        <v>767</v>
      </c>
      <c r="AA176">
        <v>20</v>
      </c>
      <c r="AB176">
        <v>0.1</v>
      </c>
      <c r="AC176">
        <v>1</v>
      </c>
      <c r="AD176">
        <v>0</v>
      </c>
      <c r="AE176">
        <v>221.67742999999999</v>
      </c>
      <c r="AF176">
        <v>268.22969000000001</v>
      </c>
      <c r="AG176">
        <v>8.4219500000000007</v>
      </c>
      <c r="AH176">
        <v>10.106339999999999</v>
      </c>
      <c r="AI176">
        <v>43.11421</v>
      </c>
      <c r="AJ176" s="329">
        <v>2492.4764300000002</v>
      </c>
      <c r="AL176">
        <v>0</v>
      </c>
      <c r="AQ176" t="s">
        <v>767</v>
      </c>
      <c r="AR176" t="s">
        <v>767</v>
      </c>
      <c r="AS176" t="s">
        <v>767</v>
      </c>
      <c r="AZ176">
        <v>0</v>
      </c>
      <c r="BA176" t="s">
        <v>829</v>
      </c>
      <c r="BB176" t="s">
        <v>1389</v>
      </c>
      <c r="BC176" t="s">
        <v>828</v>
      </c>
      <c r="BD176" t="s">
        <v>2055</v>
      </c>
      <c r="BE176" s="330">
        <v>43138.478495370371</v>
      </c>
      <c r="BH176" t="str">
        <f>VLOOKUP(B:B,výpočty!$Z$246:$Z$515,1,FALSE)</f>
        <v>R84083</v>
      </c>
    </row>
    <row r="177" spans="1:60" x14ac:dyDescent="0.25">
      <c r="A177">
        <v>112002</v>
      </c>
      <c r="B177" t="s">
        <v>480</v>
      </c>
      <c r="C177" t="s">
        <v>1006</v>
      </c>
      <c r="F177">
        <v>0</v>
      </c>
      <c r="G177">
        <v>222</v>
      </c>
      <c r="H177">
        <v>0</v>
      </c>
      <c r="I177">
        <v>0</v>
      </c>
      <c r="J177" t="s">
        <v>1727</v>
      </c>
      <c r="L177">
        <v>1</v>
      </c>
      <c r="M177">
        <v>1</v>
      </c>
      <c r="N177">
        <v>1</v>
      </c>
      <c r="O177">
        <v>0</v>
      </c>
      <c r="R177">
        <v>0</v>
      </c>
      <c r="U177">
        <v>1</v>
      </c>
      <c r="V177">
        <v>1.625</v>
      </c>
      <c r="W177">
        <v>0</v>
      </c>
      <c r="X177">
        <v>0.29799999999999999</v>
      </c>
      <c r="Y177">
        <v>0</v>
      </c>
      <c r="Z177" t="s">
        <v>767</v>
      </c>
      <c r="AA177">
        <v>20</v>
      </c>
      <c r="AB177">
        <v>0.1</v>
      </c>
      <c r="AC177">
        <v>1</v>
      </c>
      <c r="AD177">
        <v>0</v>
      </c>
      <c r="AE177">
        <v>221.67742999999999</v>
      </c>
      <c r="AF177">
        <v>268.22969000000001</v>
      </c>
      <c r="AG177">
        <v>8.4219500000000007</v>
      </c>
      <c r="AH177">
        <v>10.106339999999999</v>
      </c>
      <c r="AI177">
        <v>43.11421</v>
      </c>
      <c r="AJ177" s="329">
        <v>2492.4764300000002</v>
      </c>
      <c r="AL177">
        <v>0</v>
      </c>
      <c r="AQ177" t="s">
        <v>767</v>
      </c>
      <c r="AR177" t="s">
        <v>767</v>
      </c>
      <c r="AS177" t="s">
        <v>767</v>
      </c>
      <c r="AZ177">
        <v>0</v>
      </c>
      <c r="BA177" t="s">
        <v>1008</v>
      </c>
      <c r="BB177" t="s">
        <v>1450</v>
      </c>
      <c r="BC177" t="s">
        <v>1007</v>
      </c>
      <c r="BD177" t="s">
        <v>2055</v>
      </c>
      <c r="BE177" s="330">
        <v>43138.470405092594</v>
      </c>
      <c r="BH177" t="str">
        <f>VLOOKUP(B:B,výpočty!$Z$246:$Z$515,1,FALSE)</f>
        <v>R92879</v>
      </c>
    </row>
    <row r="178" spans="1:60" x14ac:dyDescent="0.25">
      <c r="A178">
        <v>112002</v>
      </c>
      <c r="B178" t="s">
        <v>479</v>
      </c>
      <c r="C178" t="s">
        <v>1028</v>
      </c>
      <c r="F178">
        <v>0</v>
      </c>
      <c r="G178">
        <v>222</v>
      </c>
      <c r="H178">
        <v>0</v>
      </c>
      <c r="I178">
        <v>0</v>
      </c>
      <c r="J178" t="s">
        <v>1727</v>
      </c>
      <c r="L178">
        <v>1</v>
      </c>
      <c r="M178">
        <v>1</v>
      </c>
      <c r="N178">
        <v>1</v>
      </c>
      <c r="O178">
        <v>0</v>
      </c>
      <c r="R178">
        <v>0</v>
      </c>
      <c r="U178">
        <v>1</v>
      </c>
      <c r="V178">
        <v>1.625</v>
      </c>
      <c r="W178">
        <v>0</v>
      </c>
      <c r="X178">
        <v>0.29799999999999999</v>
      </c>
      <c r="Y178">
        <v>0</v>
      </c>
      <c r="Z178" t="s">
        <v>767</v>
      </c>
      <c r="AA178">
        <v>20</v>
      </c>
      <c r="AB178">
        <v>0.1</v>
      </c>
      <c r="AC178">
        <v>1</v>
      </c>
      <c r="AD178">
        <v>0</v>
      </c>
      <c r="AE178">
        <v>221.67742999999999</v>
      </c>
      <c r="AF178">
        <v>268.22969000000001</v>
      </c>
      <c r="AG178">
        <v>8.4219500000000007</v>
      </c>
      <c r="AH178">
        <v>10.106339999999999</v>
      </c>
      <c r="AI178">
        <v>43.11421</v>
      </c>
      <c r="AJ178" s="329">
        <v>2492.4764300000002</v>
      </c>
      <c r="AL178">
        <v>0</v>
      </c>
      <c r="AQ178" t="s">
        <v>767</v>
      </c>
      <c r="AR178" t="s">
        <v>767</v>
      </c>
      <c r="AS178" t="s">
        <v>767</v>
      </c>
      <c r="AZ178">
        <v>0</v>
      </c>
      <c r="BA178" t="s">
        <v>1030</v>
      </c>
      <c r="BB178" t="s">
        <v>1455</v>
      </c>
      <c r="BC178" t="s">
        <v>1029</v>
      </c>
      <c r="BD178" t="s">
        <v>2055</v>
      </c>
      <c r="BE178" s="330">
        <v>43138.478483796294</v>
      </c>
      <c r="BH178" t="str">
        <f>VLOOKUP(B:B,výpočty!$Z$246:$Z$515,1,FALSE)</f>
        <v>R95797</v>
      </c>
    </row>
    <row r="179" spans="1:60" x14ac:dyDescent="0.25">
      <c r="A179">
        <v>112002</v>
      </c>
      <c r="B179" t="s">
        <v>476</v>
      </c>
      <c r="C179" t="s">
        <v>1153</v>
      </c>
      <c r="F179">
        <v>0</v>
      </c>
      <c r="G179">
        <v>222</v>
      </c>
      <c r="H179">
        <v>0</v>
      </c>
      <c r="I179">
        <v>0</v>
      </c>
      <c r="J179" t="s">
        <v>1727</v>
      </c>
      <c r="L179">
        <v>1</v>
      </c>
      <c r="M179">
        <v>1</v>
      </c>
      <c r="N179">
        <v>1</v>
      </c>
      <c r="O179">
        <v>0</v>
      </c>
      <c r="R179">
        <v>0</v>
      </c>
      <c r="U179">
        <v>1</v>
      </c>
      <c r="V179">
        <v>1.625</v>
      </c>
      <c r="W179">
        <v>0</v>
      </c>
      <c r="X179">
        <v>0.34200000000000003</v>
      </c>
      <c r="Y179">
        <v>0</v>
      </c>
      <c r="Z179" t="s">
        <v>767</v>
      </c>
      <c r="AA179">
        <v>20</v>
      </c>
      <c r="AB179">
        <v>0.1</v>
      </c>
      <c r="AC179">
        <v>1</v>
      </c>
      <c r="AD179">
        <v>0</v>
      </c>
      <c r="AE179">
        <v>411.52024</v>
      </c>
      <c r="AF179">
        <v>497.93948999999998</v>
      </c>
      <c r="AG179">
        <v>15.63444</v>
      </c>
      <c r="AH179">
        <v>18.761330000000001</v>
      </c>
      <c r="AI179">
        <v>80.036900000000003</v>
      </c>
      <c r="AJ179" s="329">
        <v>4627.0134099999996</v>
      </c>
      <c r="AL179">
        <v>0</v>
      </c>
      <c r="AQ179" t="s">
        <v>767</v>
      </c>
      <c r="AR179" t="s">
        <v>767</v>
      </c>
      <c r="AS179" t="s">
        <v>767</v>
      </c>
      <c r="AZ179">
        <v>0</v>
      </c>
      <c r="BA179" t="s">
        <v>1154</v>
      </c>
      <c r="BB179" t="s">
        <v>1509</v>
      </c>
      <c r="BC179" t="s">
        <v>1508</v>
      </c>
      <c r="BD179" t="s">
        <v>2055</v>
      </c>
      <c r="BE179" s="330">
        <v>43138.469293981485</v>
      </c>
      <c r="BH179" t="str">
        <f>VLOOKUP(B:B,výpočty!$Z$246:$Z$515,1,FALSE)</f>
        <v>R96228</v>
      </c>
    </row>
    <row r="180" spans="1:60" x14ac:dyDescent="0.25">
      <c r="A180">
        <v>112002</v>
      </c>
      <c r="B180" t="s">
        <v>603</v>
      </c>
      <c r="C180" t="s">
        <v>1853</v>
      </c>
      <c r="F180">
        <v>0</v>
      </c>
      <c r="G180">
        <v>222</v>
      </c>
      <c r="H180">
        <v>0</v>
      </c>
      <c r="I180">
        <v>0</v>
      </c>
      <c r="J180" t="s">
        <v>723</v>
      </c>
      <c r="L180">
        <v>1</v>
      </c>
      <c r="M180">
        <v>1</v>
      </c>
      <c r="N180">
        <v>1</v>
      </c>
      <c r="O180">
        <v>0</v>
      </c>
      <c r="R180">
        <v>0</v>
      </c>
      <c r="U180">
        <v>1</v>
      </c>
      <c r="V180">
        <v>0.42</v>
      </c>
      <c r="W180">
        <v>0</v>
      </c>
      <c r="X180">
        <v>3.1E-2</v>
      </c>
      <c r="Y180">
        <v>0</v>
      </c>
      <c r="Z180" t="s">
        <v>767</v>
      </c>
      <c r="AA180">
        <v>10</v>
      </c>
      <c r="AB180">
        <v>1</v>
      </c>
      <c r="AC180">
        <v>1</v>
      </c>
      <c r="AD180">
        <v>0</v>
      </c>
      <c r="AE180">
        <v>99.939300000000003</v>
      </c>
      <c r="AF180">
        <v>120.92655000000001</v>
      </c>
      <c r="AG180">
        <v>3.7968899999999999</v>
      </c>
      <c r="AH180">
        <v>4.5562699999999996</v>
      </c>
      <c r="AI180">
        <v>19.437290000000001</v>
      </c>
      <c r="AJ180" s="329">
        <v>1123.6883600000001</v>
      </c>
      <c r="AL180">
        <v>0</v>
      </c>
      <c r="AN180" t="s">
        <v>2054</v>
      </c>
      <c r="AQ180" t="s">
        <v>767</v>
      </c>
      <c r="AR180" t="s">
        <v>767</v>
      </c>
      <c r="AS180" t="s">
        <v>767</v>
      </c>
      <c r="AZ180">
        <v>0</v>
      </c>
      <c r="BA180" t="s">
        <v>1854</v>
      </c>
      <c r="BB180" t="s">
        <v>1481</v>
      </c>
      <c r="BC180" t="s">
        <v>1853</v>
      </c>
      <c r="BD180" t="s">
        <v>2055</v>
      </c>
      <c r="BE180" s="330">
        <v>43138.478344907409</v>
      </c>
      <c r="BH180" t="str">
        <f>VLOOKUP(B:B,výpočty!$Z$246:$Z$515,1,FALSE)</f>
        <v>R95842</v>
      </c>
    </row>
    <row r="181" spans="1:60" x14ac:dyDescent="0.25">
      <c r="A181">
        <v>112002</v>
      </c>
      <c r="B181" t="s">
        <v>604</v>
      </c>
      <c r="C181" t="s">
        <v>1855</v>
      </c>
      <c r="F181">
        <v>0</v>
      </c>
      <c r="G181">
        <v>222</v>
      </c>
      <c r="H181">
        <v>0</v>
      </c>
      <c r="I181">
        <v>0</v>
      </c>
      <c r="J181" t="s">
        <v>723</v>
      </c>
      <c r="L181">
        <v>1</v>
      </c>
      <c r="M181">
        <v>1</v>
      </c>
      <c r="N181">
        <v>1</v>
      </c>
      <c r="O181">
        <v>0</v>
      </c>
      <c r="R181">
        <v>0</v>
      </c>
      <c r="U181">
        <v>1</v>
      </c>
      <c r="V181">
        <v>0.42</v>
      </c>
      <c r="W181">
        <v>0</v>
      </c>
      <c r="X181">
        <v>3.1E-2</v>
      </c>
      <c r="Y181">
        <v>0</v>
      </c>
      <c r="Z181" t="s">
        <v>767</v>
      </c>
      <c r="AA181">
        <v>10</v>
      </c>
      <c r="AB181">
        <v>1</v>
      </c>
      <c r="AC181">
        <v>1</v>
      </c>
      <c r="AD181">
        <v>0</v>
      </c>
      <c r="AE181">
        <v>99.939300000000003</v>
      </c>
      <c r="AF181">
        <v>120.92655000000001</v>
      </c>
      <c r="AG181">
        <v>3.7968899999999999</v>
      </c>
      <c r="AH181">
        <v>4.5562699999999996</v>
      </c>
      <c r="AI181">
        <v>19.437290000000001</v>
      </c>
      <c r="AJ181" s="329">
        <v>1123.6883600000001</v>
      </c>
      <c r="AL181">
        <v>0</v>
      </c>
      <c r="AN181" t="s">
        <v>2054</v>
      </c>
      <c r="AQ181" t="s">
        <v>767</v>
      </c>
      <c r="AR181" t="s">
        <v>767</v>
      </c>
      <c r="AS181" t="s">
        <v>767</v>
      </c>
      <c r="AZ181">
        <v>0</v>
      </c>
      <c r="BA181" t="s">
        <v>1856</v>
      </c>
      <c r="BB181" t="s">
        <v>1758</v>
      </c>
      <c r="BC181" t="s">
        <v>1855</v>
      </c>
      <c r="BD181" t="s">
        <v>2055</v>
      </c>
      <c r="BE181" s="330">
        <v>43138.478344907409</v>
      </c>
      <c r="BH181" t="str">
        <f>VLOOKUP(B:B,výpočty!$Z$246:$Z$515,1,FALSE)</f>
        <v>R95843</v>
      </c>
    </row>
    <row r="182" spans="1:60" x14ac:dyDescent="0.25">
      <c r="A182">
        <v>112002</v>
      </c>
      <c r="B182" t="s">
        <v>601</v>
      </c>
      <c r="C182" t="s">
        <v>1084</v>
      </c>
      <c r="F182">
        <v>0</v>
      </c>
      <c r="G182">
        <v>222</v>
      </c>
      <c r="H182">
        <v>0</v>
      </c>
      <c r="I182">
        <v>0</v>
      </c>
      <c r="J182" t="s">
        <v>723</v>
      </c>
      <c r="L182">
        <v>1</v>
      </c>
      <c r="M182">
        <v>1</v>
      </c>
      <c r="N182">
        <v>1</v>
      </c>
      <c r="O182">
        <v>0</v>
      </c>
      <c r="R182">
        <v>0</v>
      </c>
      <c r="U182">
        <v>1</v>
      </c>
      <c r="V182">
        <v>0.42</v>
      </c>
      <c r="W182">
        <v>0</v>
      </c>
      <c r="X182">
        <v>3.1E-2</v>
      </c>
      <c r="Y182">
        <v>0</v>
      </c>
      <c r="Z182" t="s">
        <v>767</v>
      </c>
      <c r="AA182">
        <v>10</v>
      </c>
      <c r="AB182">
        <v>1</v>
      </c>
      <c r="AC182">
        <v>1</v>
      </c>
      <c r="AD182">
        <v>0</v>
      </c>
      <c r="AE182">
        <v>99.939300000000003</v>
      </c>
      <c r="AF182">
        <v>120.92655000000001</v>
      </c>
      <c r="AG182">
        <v>3.7968899999999999</v>
      </c>
      <c r="AH182">
        <v>4.5562699999999996</v>
      </c>
      <c r="AI182">
        <v>19.437290000000001</v>
      </c>
      <c r="AJ182" s="329">
        <v>1123.6883600000001</v>
      </c>
      <c r="AL182">
        <v>0</v>
      </c>
      <c r="AN182" t="s">
        <v>2054</v>
      </c>
      <c r="AQ182" t="s">
        <v>767</v>
      </c>
      <c r="AR182" t="s">
        <v>767</v>
      </c>
      <c r="AS182" t="s">
        <v>767</v>
      </c>
      <c r="AZ182">
        <v>0</v>
      </c>
      <c r="BA182" t="s">
        <v>1851</v>
      </c>
      <c r="BB182" t="s">
        <v>1479</v>
      </c>
      <c r="BC182" t="s">
        <v>1850</v>
      </c>
      <c r="BD182" t="s">
        <v>2055</v>
      </c>
      <c r="BE182" s="330">
        <v>43138.470266203702</v>
      </c>
      <c r="BH182" t="str">
        <f>VLOOKUP(B:B,výpočty!$Z$246:$Z$515,1,FALSE)</f>
        <v>R95840</v>
      </c>
    </row>
    <row r="183" spans="1:60" x14ac:dyDescent="0.25">
      <c r="A183">
        <v>112002</v>
      </c>
      <c r="B183" t="s">
        <v>598</v>
      </c>
      <c r="C183" t="s">
        <v>1085</v>
      </c>
      <c r="F183">
        <v>0</v>
      </c>
      <c r="G183">
        <v>222</v>
      </c>
      <c r="H183">
        <v>0</v>
      </c>
      <c r="I183">
        <v>0</v>
      </c>
      <c r="J183" t="s">
        <v>723</v>
      </c>
      <c r="L183">
        <v>1</v>
      </c>
      <c r="M183">
        <v>1</v>
      </c>
      <c r="N183">
        <v>1</v>
      </c>
      <c r="O183">
        <v>0</v>
      </c>
      <c r="R183">
        <v>0</v>
      </c>
      <c r="U183">
        <v>1</v>
      </c>
      <c r="V183">
        <v>0.42</v>
      </c>
      <c r="W183">
        <v>0</v>
      </c>
      <c r="X183">
        <v>3.1E-2</v>
      </c>
      <c r="Y183">
        <v>0</v>
      </c>
      <c r="Z183" t="s">
        <v>767</v>
      </c>
      <c r="AA183">
        <v>10</v>
      </c>
      <c r="AB183">
        <v>1</v>
      </c>
      <c r="AC183">
        <v>1</v>
      </c>
      <c r="AD183">
        <v>0</v>
      </c>
      <c r="AE183">
        <v>99.939300000000003</v>
      </c>
      <c r="AF183">
        <v>120.92655000000001</v>
      </c>
      <c r="AG183">
        <v>3.7968899999999999</v>
      </c>
      <c r="AH183">
        <v>4.5562699999999996</v>
      </c>
      <c r="AI183">
        <v>19.437290000000001</v>
      </c>
      <c r="AJ183" s="329">
        <v>1123.6883600000001</v>
      </c>
      <c r="AL183">
        <v>0</v>
      </c>
      <c r="AN183" t="s">
        <v>2054</v>
      </c>
      <c r="AQ183" t="s">
        <v>767</v>
      </c>
      <c r="AR183" t="s">
        <v>767</v>
      </c>
      <c r="AS183" t="s">
        <v>767</v>
      </c>
      <c r="AZ183">
        <v>0</v>
      </c>
      <c r="BA183" t="s">
        <v>1757</v>
      </c>
      <c r="BB183" t="s">
        <v>1480</v>
      </c>
      <c r="BC183" t="s">
        <v>1852</v>
      </c>
      <c r="BD183" t="s">
        <v>2055</v>
      </c>
      <c r="BE183" s="330">
        <v>43138.469143518516</v>
      </c>
      <c r="BH183" t="str">
        <f>VLOOKUP(B:B,výpočty!$Z$246:$Z$515,1,FALSE)</f>
        <v>R95841</v>
      </c>
    </row>
    <row r="184" spans="1:60" x14ac:dyDescent="0.25">
      <c r="A184">
        <v>112002</v>
      </c>
      <c r="B184" t="s">
        <v>599</v>
      </c>
      <c r="C184" t="s">
        <v>1094</v>
      </c>
      <c r="F184">
        <v>0</v>
      </c>
      <c r="G184">
        <v>222</v>
      </c>
      <c r="H184">
        <v>0</v>
      </c>
      <c r="I184">
        <v>0</v>
      </c>
      <c r="J184" t="s">
        <v>723</v>
      </c>
      <c r="L184">
        <v>1</v>
      </c>
      <c r="M184">
        <v>1</v>
      </c>
      <c r="N184">
        <v>1</v>
      </c>
      <c r="O184">
        <v>0</v>
      </c>
      <c r="R184">
        <v>0</v>
      </c>
      <c r="U184">
        <v>1</v>
      </c>
      <c r="V184">
        <v>0.42</v>
      </c>
      <c r="W184">
        <v>0</v>
      </c>
      <c r="X184">
        <v>3.1E-2</v>
      </c>
      <c r="Y184">
        <v>0</v>
      </c>
      <c r="Z184" t="s">
        <v>767</v>
      </c>
      <c r="AA184">
        <v>10</v>
      </c>
      <c r="AB184">
        <v>1</v>
      </c>
      <c r="AC184">
        <v>1</v>
      </c>
      <c r="AD184">
        <v>0</v>
      </c>
      <c r="AE184">
        <v>99.939300000000003</v>
      </c>
      <c r="AF184">
        <v>120.92655000000001</v>
      </c>
      <c r="AG184">
        <v>3.7968899999999999</v>
      </c>
      <c r="AH184">
        <v>4.5562699999999996</v>
      </c>
      <c r="AI184">
        <v>19.437290000000001</v>
      </c>
      <c r="AJ184" s="329">
        <v>1123.6883600000001</v>
      </c>
      <c r="AL184">
        <v>0</v>
      </c>
      <c r="AN184" t="s">
        <v>2054</v>
      </c>
      <c r="AQ184" t="s">
        <v>767</v>
      </c>
      <c r="AR184" t="s">
        <v>767</v>
      </c>
      <c r="AS184" t="s">
        <v>767</v>
      </c>
      <c r="AZ184">
        <v>0</v>
      </c>
      <c r="BA184" t="s">
        <v>1096</v>
      </c>
      <c r="BB184" t="s">
        <v>1482</v>
      </c>
      <c r="BC184" t="s">
        <v>1095</v>
      </c>
      <c r="BD184" t="s">
        <v>2055</v>
      </c>
      <c r="BE184" s="330">
        <v>43138.470277777778</v>
      </c>
      <c r="BH184" t="str">
        <f>VLOOKUP(B:B,výpočty!$Z$246:$Z$515,1,FALSE)</f>
        <v>R95847</v>
      </c>
    </row>
    <row r="185" spans="1:60" x14ac:dyDescent="0.25">
      <c r="A185">
        <v>112002</v>
      </c>
      <c r="B185" t="s">
        <v>782</v>
      </c>
      <c r="C185" t="s">
        <v>783</v>
      </c>
      <c r="F185">
        <v>0</v>
      </c>
      <c r="G185">
        <v>222</v>
      </c>
      <c r="H185">
        <v>0</v>
      </c>
      <c r="I185">
        <v>0</v>
      </c>
      <c r="J185" t="s">
        <v>643</v>
      </c>
      <c r="L185">
        <v>1</v>
      </c>
      <c r="M185">
        <v>1</v>
      </c>
      <c r="N185">
        <v>1</v>
      </c>
      <c r="O185">
        <v>0</v>
      </c>
      <c r="R185">
        <v>0</v>
      </c>
      <c r="U185">
        <v>1</v>
      </c>
      <c r="V185">
        <v>4.0000000000000001E-3</v>
      </c>
      <c r="W185">
        <v>0</v>
      </c>
      <c r="X185">
        <v>1E-3</v>
      </c>
      <c r="Y185">
        <v>0</v>
      </c>
      <c r="Z185" t="s">
        <v>767</v>
      </c>
      <c r="AA185">
        <v>10</v>
      </c>
      <c r="AB185">
        <v>1</v>
      </c>
      <c r="AC185">
        <v>1</v>
      </c>
      <c r="AD185">
        <v>0</v>
      </c>
      <c r="AE185">
        <v>11.36232</v>
      </c>
      <c r="AF185">
        <v>13.74841</v>
      </c>
      <c r="AG185">
        <v>0.43169000000000002</v>
      </c>
      <c r="AH185">
        <v>0.51802999999999999</v>
      </c>
      <c r="AI185">
        <v>2.2098800000000001</v>
      </c>
      <c r="AJ185" s="329">
        <v>127.75467999999999</v>
      </c>
      <c r="AL185">
        <v>0</v>
      </c>
      <c r="AQ185" t="s">
        <v>767</v>
      </c>
      <c r="AR185" t="s">
        <v>767</v>
      </c>
      <c r="AS185" t="s">
        <v>767</v>
      </c>
      <c r="AZ185">
        <v>0</v>
      </c>
      <c r="BA185" t="s">
        <v>785</v>
      </c>
      <c r="BB185" t="s">
        <v>1377</v>
      </c>
      <c r="BC185" t="s">
        <v>784</v>
      </c>
      <c r="BD185" t="s">
        <v>2055</v>
      </c>
      <c r="BE185" s="330">
        <v>43138.474479166667</v>
      </c>
      <c r="BH185" t="str">
        <f>VLOOKUP(B:B,výpočty!$Z$246:$Z$515,1,FALSE)</f>
        <v>R00057</v>
      </c>
    </row>
    <row r="186" spans="1:60" x14ac:dyDescent="0.25">
      <c r="A186">
        <v>112002</v>
      </c>
      <c r="B186" t="s">
        <v>778</v>
      </c>
      <c r="C186" t="s">
        <v>779</v>
      </c>
      <c r="F186">
        <v>0</v>
      </c>
      <c r="G186">
        <v>222</v>
      </c>
      <c r="H186">
        <v>0</v>
      </c>
      <c r="I186">
        <v>0</v>
      </c>
      <c r="J186" t="s">
        <v>643</v>
      </c>
      <c r="L186">
        <v>1</v>
      </c>
      <c r="M186">
        <v>1</v>
      </c>
      <c r="N186">
        <v>1</v>
      </c>
      <c r="O186">
        <v>0</v>
      </c>
      <c r="R186">
        <v>0</v>
      </c>
      <c r="U186">
        <v>1</v>
      </c>
      <c r="V186">
        <v>4.0000000000000001E-3</v>
      </c>
      <c r="W186">
        <v>0</v>
      </c>
      <c r="X186">
        <v>1E-3</v>
      </c>
      <c r="Y186">
        <v>0</v>
      </c>
      <c r="Z186" t="s">
        <v>767</v>
      </c>
      <c r="AA186">
        <v>10</v>
      </c>
      <c r="AB186">
        <v>1</v>
      </c>
      <c r="AC186">
        <v>1</v>
      </c>
      <c r="AD186">
        <v>0</v>
      </c>
      <c r="AE186">
        <v>11.36232</v>
      </c>
      <c r="AF186">
        <v>13.74841</v>
      </c>
      <c r="AG186">
        <v>0.43169000000000002</v>
      </c>
      <c r="AH186">
        <v>0.51802999999999999</v>
      </c>
      <c r="AI186">
        <v>2.2098800000000001</v>
      </c>
      <c r="AJ186" s="329">
        <v>127.75467999999999</v>
      </c>
      <c r="AL186">
        <v>0</v>
      </c>
      <c r="AQ186" t="s">
        <v>767</v>
      </c>
      <c r="AR186" t="s">
        <v>767</v>
      </c>
      <c r="AS186" t="s">
        <v>767</v>
      </c>
      <c r="AZ186">
        <v>0</v>
      </c>
      <c r="BA186" t="s">
        <v>781</v>
      </c>
      <c r="BB186" t="s">
        <v>1377</v>
      </c>
      <c r="BC186" t="s">
        <v>780</v>
      </c>
      <c r="BD186" t="s">
        <v>2055</v>
      </c>
      <c r="BE186" s="330">
        <v>43138.47446759259</v>
      </c>
      <c r="BH186" t="str">
        <f>VLOOKUP(B:B,výpočty!$Z$246:$Z$515,1,FALSE)</f>
        <v>R00056</v>
      </c>
    </row>
    <row r="187" spans="1:60" x14ac:dyDescent="0.25">
      <c r="A187">
        <v>112002</v>
      </c>
      <c r="B187" t="s">
        <v>774</v>
      </c>
      <c r="C187" t="s">
        <v>775</v>
      </c>
      <c r="F187">
        <v>0</v>
      </c>
      <c r="G187">
        <v>222</v>
      </c>
      <c r="H187">
        <v>0</v>
      </c>
      <c r="I187">
        <v>0</v>
      </c>
      <c r="J187" t="s">
        <v>643</v>
      </c>
      <c r="L187">
        <v>1</v>
      </c>
      <c r="M187">
        <v>1</v>
      </c>
      <c r="N187">
        <v>1</v>
      </c>
      <c r="O187">
        <v>0</v>
      </c>
      <c r="R187">
        <v>0</v>
      </c>
      <c r="U187">
        <v>1</v>
      </c>
      <c r="V187">
        <v>4.0000000000000001E-3</v>
      </c>
      <c r="W187">
        <v>0</v>
      </c>
      <c r="X187">
        <v>1E-3</v>
      </c>
      <c r="Y187">
        <v>0</v>
      </c>
      <c r="Z187" t="s">
        <v>767</v>
      </c>
      <c r="AA187">
        <v>10</v>
      </c>
      <c r="AB187">
        <v>1</v>
      </c>
      <c r="AC187">
        <v>1</v>
      </c>
      <c r="AD187">
        <v>0</v>
      </c>
      <c r="AE187">
        <v>11.36232</v>
      </c>
      <c r="AF187">
        <v>13.74841</v>
      </c>
      <c r="AG187">
        <v>0.43169000000000002</v>
      </c>
      <c r="AH187">
        <v>0.51802999999999999</v>
      </c>
      <c r="AI187">
        <v>2.2098800000000001</v>
      </c>
      <c r="AJ187" s="329">
        <v>127.75467999999999</v>
      </c>
      <c r="AL187">
        <v>0</v>
      </c>
      <c r="AQ187" t="s">
        <v>767</v>
      </c>
      <c r="AR187" t="s">
        <v>767</v>
      </c>
      <c r="AS187" t="s">
        <v>767</v>
      </c>
      <c r="AZ187">
        <v>0</v>
      </c>
      <c r="BA187" t="s">
        <v>777</v>
      </c>
      <c r="BB187" t="s">
        <v>1376</v>
      </c>
      <c r="BC187" t="s">
        <v>776</v>
      </c>
      <c r="BD187" t="s">
        <v>2055</v>
      </c>
      <c r="BE187" s="330">
        <v>43138.47446759259</v>
      </c>
      <c r="BH187" t="str">
        <f>VLOOKUP(B:B,výpočty!$Z$246:$Z$515,1,FALSE)</f>
        <v>R00055</v>
      </c>
    </row>
    <row r="188" spans="1:60" x14ac:dyDescent="0.25">
      <c r="A188">
        <v>112002</v>
      </c>
      <c r="B188" t="s">
        <v>770</v>
      </c>
      <c r="C188" t="s">
        <v>771</v>
      </c>
      <c r="F188">
        <v>0</v>
      </c>
      <c r="G188">
        <v>222</v>
      </c>
      <c r="H188">
        <v>0</v>
      </c>
      <c r="I188">
        <v>0</v>
      </c>
      <c r="J188" t="s">
        <v>643</v>
      </c>
      <c r="L188">
        <v>1</v>
      </c>
      <c r="M188">
        <v>1</v>
      </c>
      <c r="N188">
        <v>1</v>
      </c>
      <c r="O188">
        <v>0</v>
      </c>
      <c r="R188">
        <v>0</v>
      </c>
      <c r="U188">
        <v>1</v>
      </c>
      <c r="V188">
        <v>4.0000000000000001E-3</v>
      </c>
      <c r="W188">
        <v>0</v>
      </c>
      <c r="X188">
        <v>1E-3</v>
      </c>
      <c r="Y188">
        <v>0</v>
      </c>
      <c r="Z188" t="s">
        <v>767</v>
      </c>
      <c r="AA188">
        <v>10</v>
      </c>
      <c r="AB188">
        <v>1</v>
      </c>
      <c r="AC188">
        <v>1</v>
      </c>
      <c r="AD188">
        <v>0</v>
      </c>
      <c r="AE188">
        <v>11.36232</v>
      </c>
      <c r="AF188">
        <v>13.74841</v>
      </c>
      <c r="AG188">
        <v>0.43169000000000002</v>
      </c>
      <c r="AH188">
        <v>0.51802999999999999</v>
      </c>
      <c r="AI188">
        <v>2.2098800000000001</v>
      </c>
      <c r="AJ188" s="329">
        <v>127.75467999999999</v>
      </c>
      <c r="AL188">
        <v>0</v>
      </c>
      <c r="AQ188" t="s">
        <v>767</v>
      </c>
      <c r="AR188" t="s">
        <v>767</v>
      </c>
      <c r="AS188" t="s">
        <v>767</v>
      </c>
      <c r="AZ188">
        <v>0</v>
      </c>
      <c r="BA188" t="s">
        <v>773</v>
      </c>
      <c r="BB188" t="s">
        <v>1375</v>
      </c>
      <c r="BC188" t="s">
        <v>772</v>
      </c>
      <c r="BD188" t="s">
        <v>2055</v>
      </c>
      <c r="BE188" s="330">
        <v>43138.474456018521</v>
      </c>
      <c r="BH188" t="str">
        <f>VLOOKUP(B:B,výpočty!$Z$246:$Z$515,1,FALSE)</f>
        <v>R00054</v>
      </c>
    </row>
    <row r="189" spans="1:60" x14ac:dyDescent="0.25">
      <c r="A189">
        <v>112002</v>
      </c>
      <c r="B189" t="s">
        <v>474</v>
      </c>
      <c r="C189" t="s">
        <v>949</v>
      </c>
      <c r="F189">
        <v>0</v>
      </c>
      <c r="G189">
        <v>222</v>
      </c>
      <c r="H189">
        <v>0</v>
      </c>
      <c r="I189">
        <v>0</v>
      </c>
      <c r="J189" t="s">
        <v>1727</v>
      </c>
      <c r="L189">
        <v>1</v>
      </c>
      <c r="M189">
        <v>1</v>
      </c>
      <c r="N189">
        <v>1</v>
      </c>
      <c r="O189">
        <v>0</v>
      </c>
      <c r="R189">
        <v>0</v>
      </c>
      <c r="U189">
        <v>1</v>
      </c>
      <c r="V189">
        <v>1.625</v>
      </c>
      <c r="W189">
        <v>0</v>
      </c>
      <c r="X189">
        <v>0.54900000000000004</v>
      </c>
      <c r="Y189">
        <v>0</v>
      </c>
      <c r="Z189" t="s">
        <v>767</v>
      </c>
      <c r="AA189">
        <v>20</v>
      </c>
      <c r="AB189">
        <v>0.1</v>
      </c>
      <c r="AC189">
        <v>1</v>
      </c>
      <c r="AD189">
        <v>0</v>
      </c>
      <c r="AE189">
        <v>288.74040000000002</v>
      </c>
      <c r="AF189">
        <v>349.37588</v>
      </c>
      <c r="AG189">
        <v>10.969799999999999</v>
      </c>
      <c r="AH189">
        <v>13.16376</v>
      </c>
      <c r="AI189">
        <v>56.157350000000001</v>
      </c>
      <c r="AJ189" s="329">
        <v>3246.5128199999999</v>
      </c>
      <c r="AL189">
        <v>0</v>
      </c>
      <c r="AQ189" t="s">
        <v>767</v>
      </c>
      <c r="AR189" t="s">
        <v>767</v>
      </c>
      <c r="AS189" t="s">
        <v>767</v>
      </c>
      <c r="AZ189">
        <v>0</v>
      </c>
      <c r="BA189" t="s">
        <v>951</v>
      </c>
      <c r="BB189" t="s">
        <v>1434</v>
      </c>
      <c r="BC189" t="s">
        <v>950</v>
      </c>
      <c r="BD189" t="s">
        <v>2055</v>
      </c>
      <c r="BE189" s="330">
        <v>43138.469224537039</v>
      </c>
      <c r="BH189" t="str">
        <f>VLOOKUP(B:B,výpočty!$Z$246:$Z$515,1,FALSE)</f>
        <v>R92826</v>
      </c>
    </row>
    <row r="190" spans="1:60" x14ac:dyDescent="0.25">
      <c r="A190">
        <v>112002</v>
      </c>
      <c r="B190" t="s">
        <v>473</v>
      </c>
      <c r="C190" t="s">
        <v>1168</v>
      </c>
      <c r="F190">
        <v>0</v>
      </c>
      <c r="G190">
        <v>222</v>
      </c>
      <c r="H190">
        <v>0</v>
      </c>
      <c r="I190">
        <v>0</v>
      </c>
      <c r="J190" t="s">
        <v>1727</v>
      </c>
      <c r="L190">
        <v>1</v>
      </c>
      <c r="M190">
        <v>1</v>
      </c>
      <c r="N190">
        <v>1</v>
      </c>
      <c r="O190">
        <v>0</v>
      </c>
      <c r="R190">
        <v>0</v>
      </c>
      <c r="U190">
        <v>1</v>
      </c>
      <c r="V190">
        <v>1.625</v>
      </c>
      <c r="W190">
        <v>0</v>
      </c>
      <c r="X190">
        <v>0.54900000000000004</v>
      </c>
      <c r="Y190">
        <v>0</v>
      </c>
      <c r="Z190" t="s">
        <v>767</v>
      </c>
      <c r="AA190">
        <v>20</v>
      </c>
      <c r="AB190">
        <v>0.1</v>
      </c>
      <c r="AC190">
        <v>1</v>
      </c>
      <c r="AD190">
        <v>0</v>
      </c>
      <c r="AE190">
        <v>288.74040000000002</v>
      </c>
      <c r="AF190">
        <v>349.37588</v>
      </c>
      <c r="AG190">
        <v>10.969799999999999</v>
      </c>
      <c r="AH190">
        <v>13.16376</v>
      </c>
      <c r="AI190">
        <v>56.157350000000001</v>
      </c>
      <c r="AJ190" s="329">
        <v>3246.5128199999999</v>
      </c>
      <c r="AL190">
        <v>0</v>
      </c>
      <c r="AQ190" t="s">
        <v>767</v>
      </c>
      <c r="AR190" t="s">
        <v>767</v>
      </c>
      <c r="AS190" t="s">
        <v>767</v>
      </c>
      <c r="AZ190">
        <v>0</v>
      </c>
      <c r="BA190" t="s">
        <v>1170</v>
      </c>
      <c r="BB190" t="s">
        <v>1514</v>
      </c>
      <c r="BC190" t="s">
        <v>1169</v>
      </c>
      <c r="BD190" t="s">
        <v>2055</v>
      </c>
      <c r="BE190" s="330">
        <v>43138.469224537039</v>
      </c>
      <c r="BH190" t="str">
        <f>VLOOKUP(B:B,výpočty!$Z$246:$Z$515,1,FALSE)</f>
        <v>R96948</v>
      </c>
    </row>
    <row r="191" spans="1:60" x14ac:dyDescent="0.25">
      <c r="A191">
        <v>112002</v>
      </c>
      <c r="B191" t="s">
        <v>472</v>
      </c>
      <c r="C191" t="s">
        <v>881</v>
      </c>
      <c r="F191">
        <v>0</v>
      </c>
      <c r="G191">
        <v>222</v>
      </c>
      <c r="H191">
        <v>0</v>
      </c>
      <c r="I191">
        <v>0</v>
      </c>
      <c r="J191" t="s">
        <v>1727</v>
      </c>
      <c r="L191">
        <v>1</v>
      </c>
      <c r="M191">
        <v>1</v>
      </c>
      <c r="N191">
        <v>1</v>
      </c>
      <c r="O191">
        <v>0</v>
      </c>
      <c r="R191">
        <v>0</v>
      </c>
      <c r="U191">
        <v>1</v>
      </c>
      <c r="V191">
        <v>1.625</v>
      </c>
      <c r="W191">
        <v>0</v>
      </c>
      <c r="X191">
        <v>0.54900000000000004</v>
      </c>
      <c r="Y191">
        <v>0</v>
      </c>
      <c r="Z191" t="s">
        <v>767</v>
      </c>
      <c r="AA191">
        <v>20</v>
      </c>
      <c r="AB191">
        <v>0.1</v>
      </c>
      <c r="AC191">
        <v>1</v>
      </c>
      <c r="AD191">
        <v>0</v>
      </c>
      <c r="AE191">
        <v>247.82355999999999</v>
      </c>
      <c r="AF191">
        <v>299.86651000000001</v>
      </c>
      <c r="AG191">
        <v>9.4153000000000002</v>
      </c>
      <c r="AH191">
        <v>11.298360000000001</v>
      </c>
      <c r="AI191">
        <v>48.199399999999997</v>
      </c>
      <c r="AJ191" s="329">
        <v>2786.4558900000002</v>
      </c>
      <c r="AL191">
        <v>0</v>
      </c>
      <c r="AQ191" t="s">
        <v>767</v>
      </c>
      <c r="AR191" t="s">
        <v>767</v>
      </c>
      <c r="AS191" t="s">
        <v>767</v>
      </c>
      <c r="AZ191">
        <v>0</v>
      </c>
      <c r="BA191" t="s">
        <v>882</v>
      </c>
      <c r="BB191" t="s">
        <v>1410</v>
      </c>
      <c r="BC191" t="s">
        <v>881</v>
      </c>
      <c r="BD191" t="s">
        <v>2055</v>
      </c>
      <c r="BE191" s="330">
        <v>43138.478425925925</v>
      </c>
      <c r="BH191" t="str">
        <f>VLOOKUP(B:B,výpočty!$Z$246:$Z$515,1,FALSE)</f>
        <v>R88264</v>
      </c>
    </row>
    <row r="192" spans="1:60" x14ac:dyDescent="0.25">
      <c r="A192">
        <v>112002</v>
      </c>
      <c r="B192" t="s">
        <v>616</v>
      </c>
      <c r="C192" t="s">
        <v>799</v>
      </c>
      <c r="F192">
        <v>0</v>
      </c>
      <c r="G192">
        <v>222</v>
      </c>
      <c r="H192">
        <v>0</v>
      </c>
      <c r="I192">
        <v>0</v>
      </c>
      <c r="J192" t="s">
        <v>1727</v>
      </c>
      <c r="L192">
        <v>1</v>
      </c>
      <c r="M192">
        <v>1</v>
      </c>
      <c r="N192">
        <v>1</v>
      </c>
      <c r="O192">
        <v>0</v>
      </c>
      <c r="R192">
        <v>0</v>
      </c>
      <c r="U192">
        <v>1</v>
      </c>
      <c r="V192">
        <v>1.625</v>
      </c>
      <c r="W192">
        <v>0</v>
      </c>
      <c r="X192">
        <v>0.65400000000000003</v>
      </c>
      <c r="Y192">
        <v>0</v>
      </c>
      <c r="Z192" t="s">
        <v>767</v>
      </c>
      <c r="AA192">
        <v>20</v>
      </c>
      <c r="AB192">
        <v>0.1</v>
      </c>
      <c r="AC192">
        <v>1</v>
      </c>
      <c r="AD192">
        <v>0</v>
      </c>
      <c r="AE192">
        <v>823.0557</v>
      </c>
      <c r="AF192">
        <v>995.89739999999995</v>
      </c>
      <c r="AG192">
        <v>31.269480000000001</v>
      </c>
      <c r="AH192">
        <v>37.523380000000003</v>
      </c>
      <c r="AI192">
        <v>160.07677000000001</v>
      </c>
      <c r="AJ192" s="329">
        <v>9254.1983</v>
      </c>
      <c r="AL192">
        <v>0</v>
      </c>
      <c r="AQ192" t="s">
        <v>767</v>
      </c>
      <c r="AR192" t="s">
        <v>767</v>
      </c>
      <c r="AS192" t="s">
        <v>767</v>
      </c>
      <c r="AZ192">
        <v>0</v>
      </c>
      <c r="BA192" t="s">
        <v>1736</v>
      </c>
      <c r="BB192" t="s">
        <v>1553</v>
      </c>
      <c r="BC192" t="s">
        <v>1379</v>
      </c>
      <c r="BD192" t="s">
        <v>2055</v>
      </c>
      <c r="BE192" s="330">
        <v>43138.434062499997</v>
      </c>
      <c r="BH192" t="str">
        <f>VLOOKUP(B:B,výpočty!$Z$246:$Z$515,1,FALSE)</f>
        <v>R00067</v>
      </c>
    </row>
    <row r="193" spans="1:60" x14ac:dyDescent="0.25">
      <c r="A193">
        <v>112002</v>
      </c>
      <c r="B193" t="s">
        <v>470</v>
      </c>
      <c r="C193" t="s">
        <v>1148</v>
      </c>
      <c r="F193">
        <v>0</v>
      </c>
      <c r="G193">
        <v>222</v>
      </c>
      <c r="H193">
        <v>0</v>
      </c>
      <c r="I193">
        <v>0</v>
      </c>
      <c r="J193" t="s">
        <v>1727</v>
      </c>
      <c r="L193">
        <v>1</v>
      </c>
      <c r="M193">
        <v>1</v>
      </c>
      <c r="N193">
        <v>1</v>
      </c>
      <c r="O193">
        <v>0</v>
      </c>
      <c r="R193">
        <v>0</v>
      </c>
      <c r="U193">
        <v>1</v>
      </c>
      <c r="V193">
        <v>1.625</v>
      </c>
      <c r="W193">
        <v>0</v>
      </c>
      <c r="X193">
        <v>0.65400000000000003</v>
      </c>
      <c r="Y193">
        <v>0</v>
      </c>
      <c r="Z193" t="s">
        <v>767</v>
      </c>
      <c r="AA193">
        <v>20</v>
      </c>
      <c r="AB193">
        <v>0.1</v>
      </c>
      <c r="AC193">
        <v>1</v>
      </c>
      <c r="AD193">
        <v>0</v>
      </c>
      <c r="AE193">
        <v>684.35852999999997</v>
      </c>
      <c r="AF193">
        <v>828.07381999999996</v>
      </c>
      <c r="AG193">
        <v>26.0001</v>
      </c>
      <c r="AH193">
        <v>31.200119999999998</v>
      </c>
      <c r="AI193">
        <v>133.10145</v>
      </c>
      <c r="AJ193" s="329">
        <v>7694.7275499999996</v>
      </c>
      <c r="AL193">
        <v>0</v>
      </c>
      <c r="AQ193" t="s">
        <v>767</v>
      </c>
      <c r="AR193" t="s">
        <v>767</v>
      </c>
      <c r="AS193" t="s">
        <v>767</v>
      </c>
      <c r="AZ193">
        <v>0</v>
      </c>
      <c r="BA193" t="s">
        <v>1766</v>
      </c>
      <c r="BB193" t="s">
        <v>1506</v>
      </c>
      <c r="BC193" t="s">
        <v>1149</v>
      </c>
      <c r="BD193" t="s">
        <v>2055</v>
      </c>
      <c r="BE193" s="330">
        <v>43138.470381944448</v>
      </c>
      <c r="BH193" t="str">
        <f>VLOOKUP(B:B,výpočty!$Z$246:$Z$515,1,FALSE)</f>
        <v>R96186</v>
      </c>
    </row>
    <row r="194" spans="1:60" x14ac:dyDescent="0.25">
      <c r="A194">
        <v>112002</v>
      </c>
      <c r="B194" t="s">
        <v>471</v>
      </c>
      <c r="C194" t="s">
        <v>1036</v>
      </c>
      <c r="F194">
        <v>0</v>
      </c>
      <c r="G194">
        <v>222</v>
      </c>
      <c r="H194">
        <v>0</v>
      </c>
      <c r="I194">
        <v>0</v>
      </c>
      <c r="J194" t="s">
        <v>1727</v>
      </c>
      <c r="L194">
        <v>1</v>
      </c>
      <c r="M194">
        <v>1</v>
      </c>
      <c r="N194">
        <v>1</v>
      </c>
      <c r="O194">
        <v>0</v>
      </c>
      <c r="R194">
        <v>0</v>
      </c>
      <c r="U194">
        <v>1</v>
      </c>
      <c r="V194">
        <v>1.625</v>
      </c>
      <c r="W194">
        <v>0</v>
      </c>
      <c r="X194">
        <v>0.65900000000000003</v>
      </c>
      <c r="Y194">
        <v>0</v>
      </c>
      <c r="Z194" t="s">
        <v>767</v>
      </c>
      <c r="AA194">
        <v>20</v>
      </c>
      <c r="AB194">
        <v>0.1</v>
      </c>
      <c r="AC194">
        <v>1</v>
      </c>
      <c r="AD194">
        <v>0</v>
      </c>
      <c r="AE194">
        <v>641.17888000000005</v>
      </c>
      <c r="AF194">
        <v>775.82644000000005</v>
      </c>
      <c r="AG194">
        <v>24.35961</v>
      </c>
      <c r="AH194">
        <v>29.231529999999999</v>
      </c>
      <c r="AI194">
        <v>124.70341000000001</v>
      </c>
      <c r="AJ194" s="329">
        <v>7209.2282100000002</v>
      </c>
      <c r="AL194">
        <v>0</v>
      </c>
      <c r="AQ194" t="s">
        <v>767</v>
      </c>
      <c r="AR194" t="s">
        <v>767</v>
      </c>
      <c r="AS194" t="s">
        <v>767</v>
      </c>
      <c r="AZ194">
        <v>0</v>
      </c>
      <c r="BA194" t="s">
        <v>1038</v>
      </c>
      <c r="BB194" t="s">
        <v>1458</v>
      </c>
      <c r="BC194" t="s">
        <v>1037</v>
      </c>
      <c r="BD194" t="s">
        <v>2055</v>
      </c>
      <c r="BE194" s="330">
        <v>43138.470370370371</v>
      </c>
      <c r="BH194" t="str">
        <f>VLOOKUP(B:B,výpočty!$Z$246:$Z$515,1,FALSE)</f>
        <v>R95817</v>
      </c>
    </row>
    <row r="195" spans="1:60" x14ac:dyDescent="0.25">
      <c r="A195">
        <v>112002</v>
      </c>
      <c r="B195" t="s">
        <v>469</v>
      </c>
      <c r="C195" t="s">
        <v>902</v>
      </c>
      <c r="F195">
        <v>0</v>
      </c>
      <c r="G195">
        <v>222</v>
      </c>
      <c r="H195">
        <v>0</v>
      </c>
      <c r="I195">
        <v>0</v>
      </c>
      <c r="J195" t="s">
        <v>1727</v>
      </c>
      <c r="L195">
        <v>1</v>
      </c>
      <c r="M195">
        <v>1</v>
      </c>
      <c r="N195">
        <v>1</v>
      </c>
      <c r="O195">
        <v>0</v>
      </c>
      <c r="R195">
        <v>0</v>
      </c>
      <c r="U195">
        <v>1</v>
      </c>
      <c r="V195">
        <v>1.625</v>
      </c>
      <c r="W195">
        <v>0</v>
      </c>
      <c r="X195">
        <v>0.54900000000000004</v>
      </c>
      <c r="Y195">
        <v>0</v>
      </c>
      <c r="Z195" t="s">
        <v>767</v>
      </c>
      <c r="AA195">
        <v>20</v>
      </c>
      <c r="AB195">
        <v>0.1</v>
      </c>
      <c r="AC195">
        <v>1</v>
      </c>
      <c r="AD195">
        <v>0</v>
      </c>
      <c r="AE195">
        <v>288.74040000000002</v>
      </c>
      <c r="AF195">
        <v>349.37588</v>
      </c>
      <c r="AG195">
        <v>10.969799999999999</v>
      </c>
      <c r="AH195">
        <v>13.16376</v>
      </c>
      <c r="AI195">
        <v>56.157350000000001</v>
      </c>
      <c r="AJ195" s="329">
        <v>3246.5128199999999</v>
      </c>
      <c r="AL195">
        <v>0</v>
      </c>
      <c r="AQ195" t="s">
        <v>767</v>
      </c>
      <c r="AR195" t="s">
        <v>767</v>
      </c>
      <c r="AS195" t="s">
        <v>767</v>
      </c>
      <c r="AZ195">
        <v>0</v>
      </c>
      <c r="BA195" t="s">
        <v>903</v>
      </c>
      <c r="BB195" t="s">
        <v>1418</v>
      </c>
      <c r="BC195" t="s">
        <v>902</v>
      </c>
      <c r="BD195" t="s">
        <v>2055</v>
      </c>
      <c r="BE195" s="330">
        <v>43138.470335648148</v>
      </c>
      <c r="BH195" t="str">
        <f>VLOOKUP(B:B,výpočty!$Z$246:$Z$515,1,FALSE)</f>
        <v>R88323</v>
      </c>
    </row>
    <row r="196" spans="1:60" x14ac:dyDescent="0.25">
      <c r="A196">
        <v>112002</v>
      </c>
      <c r="B196" t="s">
        <v>468</v>
      </c>
      <c r="C196" t="s">
        <v>801</v>
      </c>
      <c r="F196">
        <v>0</v>
      </c>
      <c r="G196">
        <v>222</v>
      </c>
      <c r="H196">
        <v>0</v>
      </c>
      <c r="I196">
        <v>0</v>
      </c>
      <c r="J196" t="s">
        <v>1727</v>
      </c>
      <c r="L196">
        <v>1</v>
      </c>
      <c r="M196">
        <v>1</v>
      </c>
      <c r="N196">
        <v>1</v>
      </c>
      <c r="O196">
        <v>0</v>
      </c>
      <c r="R196">
        <v>0</v>
      </c>
      <c r="U196">
        <v>1</v>
      </c>
      <c r="V196">
        <v>1.625</v>
      </c>
      <c r="W196">
        <v>0</v>
      </c>
      <c r="X196">
        <v>0.54900000000000004</v>
      </c>
      <c r="Y196">
        <v>0</v>
      </c>
      <c r="Z196" t="s">
        <v>767</v>
      </c>
      <c r="AA196">
        <v>20</v>
      </c>
      <c r="AB196">
        <v>0.1</v>
      </c>
      <c r="AC196">
        <v>1</v>
      </c>
      <c r="AD196">
        <v>0</v>
      </c>
      <c r="AE196">
        <v>288.74040000000002</v>
      </c>
      <c r="AF196">
        <v>349.37588</v>
      </c>
      <c r="AG196">
        <v>10.969799999999999</v>
      </c>
      <c r="AH196">
        <v>13.16376</v>
      </c>
      <c r="AI196">
        <v>56.157350000000001</v>
      </c>
      <c r="AJ196" s="329">
        <v>3246.5128199999999</v>
      </c>
      <c r="AL196">
        <v>0</v>
      </c>
      <c r="AQ196" t="s">
        <v>767</v>
      </c>
      <c r="AR196" t="s">
        <v>767</v>
      </c>
      <c r="AS196" t="s">
        <v>767</v>
      </c>
      <c r="AZ196">
        <v>0</v>
      </c>
      <c r="BA196" t="s">
        <v>802</v>
      </c>
      <c r="BB196" t="s">
        <v>1380</v>
      </c>
      <c r="BC196" t="s">
        <v>801</v>
      </c>
      <c r="BD196" t="s">
        <v>2055</v>
      </c>
      <c r="BE196" s="330">
        <v>43138.478437500002</v>
      </c>
      <c r="BH196" t="str">
        <f>VLOOKUP(B:B,výpočty!$Z$246:$Z$515,1,FALSE)</f>
        <v>R77010</v>
      </c>
    </row>
    <row r="197" spans="1:60" x14ac:dyDescent="0.25">
      <c r="A197">
        <v>112002</v>
      </c>
      <c r="B197" t="s">
        <v>467</v>
      </c>
      <c r="C197" t="s">
        <v>861</v>
      </c>
      <c r="F197">
        <v>0</v>
      </c>
      <c r="G197">
        <v>222</v>
      </c>
      <c r="H197">
        <v>0</v>
      </c>
      <c r="I197">
        <v>0</v>
      </c>
      <c r="J197" t="s">
        <v>1727</v>
      </c>
      <c r="L197">
        <v>1</v>
      </c>
      <c r="M197">
        <v>1</v>
      </c>
      <c r="N197">
        <v>1</v>
      </c>
      <c r="O197">
        <v>0</v>
      </c>
      <c r="R197">
        <v>0</v>
      </c>
      <c r="U197">
        <v>1</v>
      </c>
      <c r="V197">
        <v>1.625</v>
      </c>
      <c r="W197">
        <v>0</v>
      </c>
      <c r="X197">
        <v>0.54900000000000004</v>
      </c>
      <c r="Y197">
        <v>0</v>
      </c>
      <c r="Z197" t="s">
        <v>767</v>
      </c>
      <c r="AA197">
        <v>20</v>
      </c>
      <c r="AB197">
        <v>0.1</v>
      </c>
      <c r="AC197">
        <v>1</v>
      </c>
      <c r="AD197">
        <v>0</v>
      </c>
      <c r="AE197">
        <v>247.82355999999999</v>
      </c>
      <c r="AF197">
        <v>299.86651000000001</v>
      </c>
      <c r="AG197">
        <v>9.4153000000000002</v>
      </c>
      <c r="AH197">
        <v>11.298360000000001</v>
      </c>
      <c r="AI197">
        <v>48.199399999999997</v>
      </c>
      <c r="AJ197" s="329">
        <v>2786.4558900000002</v>
      </c>
      <c r="AL197">
        <v>0</v>
      </c>
      <c r="AQ197" t="s">
        <v>767</v>
      </c>
      <c r="AR197" t="s">
        <v>767</v>
      </c>
      <c r="AS197" t="s">
        <v>767</v>
      </c>
      <c r="AZ197">
        <v>0</v>
      </c>
      <c r="BA197" t="s">
        <v>863</v>
      </c>
      <c r="BB197" t="s">
        <v>1402</v>
      </c>
      <c r="BC197" t="s">
        <v>862</v>
      </c>
      <c r="BD197" t="s">
        <v>2055</v>
      </c>
      <c r="BE197" s="330">
        <v>43138.478414351855</v>
      </c>
      <c r="BH197" t="str">
        <f>VLOOKUP(B:B,výpočty!$Z$246:$Z$515,1,FALSE)</f>
        <v>R88198</v>
      </c>
    </row>
    <row r="198" spans="1:60" x14ac:dyDescent="0.25">
      <c r="A198">
        <v>112002</v>
      </c>
      <c r="B198" t="s">
        <v>466</v>
      </c>
      <c r="C198" t="s">
        <v>1171</v>
      </c>
      <c r="F198">
        <v>0</v>
      </c>
      <c r="G198">
        <v>222</v>
      </c>
      <c r="H198">
        <v>0</v>
      </c>
      <c r="I198">
        <v>0</v>
      </c>
      <c r="J198" t="s">
        <v>1727</v>
      </c>
      <c r="L198">
        <v>1</v>
      </c>
      <c r="M198">
        <v>1</v>
      </c>
      <c r="N198">
        <v>1</v>
      </c>
      <c r="O198">
        <v>0</v>
      </c>
      <c r="R198">
        <v>0</v>
      </c>
      <c r="U198">
        <v>1</v>
      </c>
      <c r="V198">
        <v>1.625</v>
      </c>
      <c r="W198">
        <v>0</v>
      </c>
      <c r="X198">
        <v>0.54900000000000004</v>
      </c>
      <c r="Y198">
        <v>0</v>
      </c>
      <c r="Z198" t="s">
        <v>767</v>
      </c>
      <c r="AA198">
        <v>20</v>
      </c>
      <c r="AB198">
        <v>0.1</v>
      </c>
      <c r="AC198">
        <v>1</v>
      </c>
      <c r="AD198">
        <v>0</v>
      </c>
      <c r="AE198">
        <v>288.74040000000002</v>
      </c>
      <c r="AF198">
        <v>349.37588</v>
      </c>
      <c r="AG198">
        <v>10.969799999999999</v>
      </c>
      <c r="AH198">
        <v>13.16376</v>
      </c>
      <c r="AI198">
        <v>56.157350000000001</v>
      </c>
      <c r="AJ198" s="329">
        <v>3246.5128199999999</v>
      </c>
      <c r="AL198">
        <v>0</v>
      </c>
      <c r="AQ198" t="s">
        <v>767</v>
      </c>
      <c r="AR198" t="s">
        <v>767</v>
      </c>
      <c r="AS198" t="s">
        <v>767</v>
      </c>
      <c r="AZ198">
        <v>0</v>
      </c>
      <c r="BA198" t="s">
        <v>1172</v>
      </c>
      <c r="BB198" t="s">
        <v>1515</v>
      </c>
      <c r="BC198" t="s">
        <v>1564</v>
      </c>
      <c r="BD198" t="s">
        <v>2055</v>
      </c>
      <c r="BE198" s="330">
        <v>43138.474374999998</v>
      </c>
      <c r="BH198" t="str">
        <f>VLOOKUP(B:B,výpočty!$Z$246:$Z$515,1,FALSE)</f>
        <v>R96949</v>
      </c>
    </row>
    <row r="199" spans="1:60" x14ac:dyDescent="0.25">
      <c r="A199">
        <v>112002</v>
      </c>
      <c r="B199" t="s">
        <v>465</v>
      </c>
      <c r="C199" t="s">
        <v>857</v>
      </c>
      <c r="F199">
        <v>0</v>
      </c>
      <c r="G199">
        <v>222</v>
      </c>
      <c r="H199">
        <v>0</v>
      </c>
      <c r="I199">
        <v>0</v>
      </c>
      <c r="J199" t="s">
        <v>1727</v>
      </c>
      <c r="L199">
        <v>1</v>
      </c>
      <c r="M199">
        <v>1</v>
      </c>
      <c r="N199">
        <v>1</v>
      </c>
      <c r="O199">
        <v>0</v>
      </c>
      <c r="R199">
        <v>0</v>
      </c>
      <c r="U199">
        <v>1</v>
      </c>
      <c r="V199">
        <v>1.625</v>
      </c>
      <c r="W199">
        <v>0</v>
      </c>
      <c r="X199">
        <v>0.54900000000000004</v>
      </c>
      <c r="Y199">
        <v>0</v>
      </c>
      <c r="Z199" t="s">
        <v>767</v>
      </c>
      <c r="AA199">
        <v>20</v>
      </c>
      <c r="AB199">
        <v>0.1</v>
      </c>
      <c r="AC199">
        <v>1</v>
      </c>
      <c r="AD199">
        <v>0</v>
      </c>
      <c r="AE199">
        <v>288.74040000000002</v>
      </c>
      <c r="AF199">
        <v>349.37588</v>
      </c>
      <c r="AG199">
        <v>10.969799999999999</v>
      </c>
      <c r="AH199">
        <v>13.16376</v>
      </c>
      <c r="AI199">
        <v>56.157350000000001</v>
      </c>
      <c r="AJ199" s="329">
        <v>3246.5128199999999</v>
      </c>
      <c r="AL199">
        <v>0</v>
      </c>
      <c r="AQ199" t="s">
        <v>767</v>
      </c>
      <c r="AR199" t="s">
        <v>767</v>
      </c>
      <c r="AS199" t="s">
        <v>767</v>
      </c>
      <c r="AZ199">
        <v>0</v>
      </c>
      <c r="BA199" t="s">
        <v>858</v>
      </c>
      <c r="BB199" t="s">
        <v>1400</v>
      </c>
      <c r="BC199" t="s">
        <v>857</v>
      </c>
      <c r="BD199" t="s">
        <v>2055</v>
      </c>
      <c r="BE199" s="330">
        <v>43138.469212962962</v>
      </c>
      <c r="BH199" t="str">
        <f>VLOOKUP(B:B,výpočty!$Z$246:$Z$515,1,FALSE)</f>
        <v>R88189</v>
      </c>
    </row>
    <row r="200" spans="1:60" x14ac:dyDescent="0.25">
      <c r="A200">
        <v>112002</v>
      </c>
      <c r="B200" t="s">
        <v>464</v>
      </c>
      <c r="C200" t="s">
        <v>1003</v>
      </c>
      <c r="F200">
        <v>0</v>
      </c>
      <c r="G200">
        <v>222</v>
      </c>
      <c r="H200">
        <v>0</v>
      </c>
      <c r="I200">
        <v>0</v>
      </c>
      <c r="J200" t="s">
        <v>1727</v>
      </c>
      <c r="L200">
        <v>1</v>
      </c>
      <c r="M200">
        <v>1</v>
      </c>
      <c r="N200">
        <v>1</v>
      </c>
      <c r="O200">
        <v>0</v>
      </c>
      <c r="R200">
        <v>0</v>
      </c>
      <c r="U200">
        <v>1</v>
      </c>
      <c r="V200">
        <v>1.625</v>
      </c>
      <c r="W200">
        <v>0</v>
      </c>
      <c r="X200">
        <v>0.54900000000000004</v>
      </c>
      <c r="Y200">
        <v>0</v>
      </c>
      <c r="Z200" t="s">
        <v>767</v>
      </c>
      <c r="AA200">
        <v>20</v>
      </c>
      <c r="AB200">
        <v>0.1</v>
      </c>
      <c r="AC200">
        <v>1</v>
      </c>
      <c r="AD200">
        <v>0</v>
      </c>
      <c r="AE200">
        <v>288.74040000000002</v>
      </c>
      <c r="AF200">
        <v>349.37588</v>
      </c>
      <c r="AG200">
        <v>10.969799999999999</v>
      </c>
      <c r="AH200">
        <v>13.16376</v>
      </c>
      <c r="AI200">
        <v>56.157350000000001</v>
      </c>
      <c r="AJ200" s="329">
        <v>3246.5128199999999</v>
      </c>
      <c r="AL200">
        <v>0</v>
      </c>
      <c r="AQ200" t="s">
        <v>767</v>
      </c>
      <c r="AR200" t="s">
        <v>767</v>
      </c>
      <c r="AS200" t="s">
        <v>767</v>
      </c>
      <c r="AZ200">
        <v>0</v>
      </c>
      <c r="BA200" t="s">
        <v>1005</v>
      </c>
      <c r="BB200" t="s">
        <v>1449</v>
      </c>
      <c r="BC200" t="s">
        <v>1004</v>
      </c>
      <c r="BD200" t="s">
        <v>2055</v>
      </c>
      <c r="BE200" s="330">
        <v>43138.470347222225</v>
      </c>
      <c r="BH200" t="str">
        <f>VLOOKUP(B:B,výpočty!$Z$246:$Z$515,1,FALSE)</f>
        <v>R92857</v>
      </c>
    </row>
    <row r="201" spans="1:60" x14ac:dyDescent="0.25">
      <c r="A201">
        <v>112002</v>
      </c>
      <c r="B201" t="s">
        <v>463</v>
      </c>
      <c r="C201" t="s">
        <v>946</v>
      </c>
      <c r="F201">
        <v>0</v>
      </c>
      <c r="G201">
        <v>222</v>
      </c>
      <c r="H201">
        <v>0</v>
      </c>
      <c r="I201">
        <v>0</v>
      </c>
      <c r="J201" t="s">
        <v>1727</v>
      </c>
      <c r="L201">
        <v>1</v>
      </c>
      <c r="M201">
        <v>1</v>
      </c>
      <c r="N201">
        <v>1</v>
      </c>
      <c r="O201">
        <v>0</v>
      </c>
      <c r="R201">
        <v>0</v>
      </c>
      <c r="U201">
        <v>1</v>
      </c>
      <c r="V201">
        <v>1.625</v>
      </c>
      <c r="W201">
        <v>0</v>
      </c>
      <c r="X201">
        <v>0.54900000000000004</v>
      </c>
      <c r="Y201">
        <v>0</v>
      </c>
      <c r="Z201" t="s">
        <v>767</v>
      </c>
      <c r="AA201">
        <v>20</v>
      </c>
      <c r="AB201">
        <v>0.1</v>
      </c>
      <c r="AC201">
        <v>1</v>
      </c>
      <c r="AD201">
        <v>0</v>
      </c>
      <c r="AE201">
        <v>247.82355999999999</v>
      </c>
      <c r="AF201">
        <v>299.86651000000001</v>
      </c>
      <c r="AG201">
        <v>9.4153000000000002</v>
      </c>
      <c r="AH201">
        <v>11.298360000000001</v>
      </c>
      <c r="AI201">
        <v>48.199399999999997</v>
      </c>
      <c r="AJ201" s="329">
        <v>2786.4558900000002</v>
      </c>
      <c r="AL201">
        <v>0</v>
      </c>
      <c r="AQ201" t="s">
        <v>767</v>
      </c>
      <c r="AR201" t="s">
        <v>767</v>
      </c>
      <c r="AS201" t="s">
        <v>767</v>
      </c>
      <c r="AZ201">
        <v>0</v>
      </c>
      <c r="BA201" t="s">
        <v>948</v>
      </c>
      <c r="BB201" t="s">
        <v>1433</v>
      </c>
      <c r="BC201" t="s">
        <v>947</v>
      </c>
      <c r="BD201" t="s">
        <v>2055</v>
      </c>
      <c r="BE201" s="330">
        <v>43138.478425925925</v>
      </c>
      <c r="BH201" t="str">
        <f>VLOOKUP(B:B,výpočty!$Z$246:$Z$515,1,FALSE)</f>
        <v>R92825</v>
      </c>
    </row>
    <row r="202" spans="1:60" x14ac:dyDescent="0.25">
      <c r="A202">
        <v>112002</v>
      </c>
      <c r="B202" t="s">
        <v>462</v>
      </c>
      <c r="C202" t="s">
        <v>965</v>
      </c>
      <c r="F202">
        <v>0</v>
      </c>
      <c r="G202">
        <v>222</v>
      </c>
      <c r="H202">
        <v>0</v>
      </c>
      <c r="I202">
        <v>0</v>
      </c>
      <c r="J202" t="s">
        <v>1727</v>
      </c>
      <c r="L202">
        <v>1</v>
      </c>
      <c r="M202">
        <v>1</v>
      </c>
      <c r="N202">
        <v>1</v>
      </c>
      <c r="O202">
        <v>0</v>
      </c>
      <c r="R202">
        <v>0</v>
      </c>
      <c r="U202">
        <v>1</v>
      </c>
      <c r="V202">
        <v>0.65</v>
      </c>
      <c r="W202">
        <v>0</v>
      </c>
      <c r="X202">
        <v>0.156</v>
      </c>
      <c r="Y202">
        <v>0</v>
      </c>
      <c r="Z202" t="s">
        <v>767</v>
      </c>
      <c r="AA202">
        <v>20</v>
      </c>
      <c r="AB202">
        <v>0.1</v>
      </c>
      <c r="AC202">
        <v>1</v>
      </c>
      <c r="AD202">
        <v>0</v>
      </c>
      <c r="AE202">
        <v>804.87558000000001</v>
      </c>
      <c r="AF202">
        <v>973.89945</v>
      </c>
      <c r="AG202">
        <v>30.578759999999999</v>
      </c>
      <c r="AH202">
        <v>36.694510000000001</v>
      </c>
      <c r="AI202">
        <v>156.54091</v>
      </c>
      <c r="AJ202" s="329">
        <v>9049.7861599999997</v>
      </c>
      <c r="AL202">
        <v>0</v>
      </c>
      <c r="AN202" t="s">
        <v>2119</v>
      </c>
      <c r="AQ202" t="s">
        <v>767</v>
      </c>
      <c r="AR202" t="s">
        <v>767</v>
      </c>
      <c r="AS202" t="s">
        <v>767</v>
      </c>
      <c r="AZ202">
        <v>0</v>
      </c>
      <c r="BA202" t="s">
        <v>1749</v>
      </c>
      <c r="BB202" t="s">
        <v>1441</v>
      </c>
      <c r="BC202" t="s">
        <v>965</v>
      </c>
      <c r="BD202" t="s">
        <v>2055</v>
      </c>
      <c r="BE202" s="330">
        <v>43138.470370370371</v>
      </c>
      <c r="BH202" t="str">
        <f>VLOOKUP(B:B,výpočty!$Z$246:$Z$515,1,FALSE)</f>
        <v>R92837</v>
      </c>
    </row>
    <row r="203" spans="1:60" x14ac:dyDescent="0.25">
      <c r="A203">
        <v>112002</v>
      </c>
      <c r="B203" t="s">
        <v>460</v>
      </c>
      <c r="C203" t="s">
        <v>964</v>
      </c>
      <c r="F203">
        <v>0</v>
      </c>
      <c r="G203">
        <v>222</v>
      </c>
      <c r="H203">
        <v>0</v>
      </c>
      <c r="I203">
        <v>0</v>
      </c>
      <c r="J203" t="s">
        <v>1727</v>
      </c>
      <c r="L203">
        <v>1</v>
      </c>
      <c r="M203">
        <v>1</v>
      </c>
      <c r="N203">
        <v>1</v>
      </c>
      <c r="O203">
        <v>0</v>
      </c>
      <c r="R203">
        <v>0</v>
      </c>
      <c r="U203">
        <v>1</v>
      </c>
      <c r="V203">
        <v>1.625</v>
      </c>
      <c r="W203">
        <v>0</v>
      </c>
      <c r="X203">
        <v>0.39100000000000001</v>
      </c>
      <c r="Y203">
        <v>0</v>
      </c>
      <c r="Z203" t="s">
        <v>767</v>
      </c>
      <c r="AA203">
        <v>20</v>
      </c>
      <c r="AB203">
        <v>0.1</v>
      </c>
      <c r="AC203">
        <v>1</v>
      </c>
      <c r="AD203">
        <v>0</v>
      </c>
      <c r="AE203">
        <v>593.41278</v>
      </c>
      <c r="AF203">
        <v>718.02945999999997</v>
      </c>
      <c r="AG203">
        <v>22.544879999999999</v>
      </c>
      <c r="AH203">
        <v>27.05386</v>
      </c>
      <c r="AI203">
        <v>115.41334000000001</v>
      </c>
      <c r="AJ203" s="329">
        <v>6672.1600500000004</v>
      </c>
      <c r="AL203">
        <v>0</v>
      </c>
      <c r="AN203" t="s">
        <v>2119</v>
      </c>
      <c r="AQ203" t="s">
        <v>767</v>
      </c>
      <c r="AR203" t="s">
        <v>767</v>
      </c>
      <c r="AS203" t="s">
        <v>767</v>
      </c>
      <c r="AZ203">
        <v>0</v>
      </c>
      <c r="BA203" t="s">
        <v>1748</v>
      </c>
      <c r="BB203" t="s">
        <v>1440</v>
      </c>
      <c r="BC203" t="s">
        <v>964</v>
      </c>
      <c r="BD203" t="s">
        <v>2055</v>
      </c>
      <c r="BE203" s="330">
        <v>43138.478460648148</v>
      </c>
      <c r="BH203" t="str">
        <f>VLOOKUP(B:B,výpočty!$Z$246:$Z$515,1,FALSE)</f>
        <v>R92836</v>
      </c>
    </row>
    <row r="204" spans="1:60" x14ac:dyDescent="0.25">
      <c r="A204">
        <v>112002</v>
      </c>
      <c r="B204" t="s">
        <v>449</v>
      </c>
      <c r="C204" t="s">
        <v>1147</v>
      </c>
      <c r="F204">
        <v>0</v>
      </c>
      <c r="G204">
        <v>222</v>
      </c>
      <c r="H204">
        <v>0</v>
      </c>
      <c r="I204">
        <v>0</v>
      </c>
      <c r="J204" t="s">
        <v>657</v>
      </c>
      <c r="L204">
        <v>1</v>
      </c>
      <c r="M204">
        <v>1</v>
      </c>
      <c r="N204">
        <v>1</v>
      </c>
      <c r="O204">
        <v>0</v>
      </c>
      <c r="R204">
        <v>0</v>
      </c>
      <c r="U204">
        <v>1</v>
      </c>
      <c r="V204">
        <v>0.219</v>
      </c>
      <c r="W204">
        <v>0</v>
      </c>
      <c r="X204">
        <v>1.4999999999999999E-2</v>
      </c>
      <c r="Y204">
        <v>0</v>
      </c>
      <c r="Z204" t="s">
        <v>767</v>
      </c>
      <c r="AA204">
        <v>20</v>
      </c>
      <c r="AB204">
        <v>1</v>
      </c>
      <c r="AC204">
        <v>1</v>
      </c>
      <c r="AD204">
        <v>0</v>
      </c>
      <c r="AE204">
        <v>46.619489999999999</v>
      </c>
      <c r="AF204">
        <v>56.409579999999998</v>
      </c>
      <c r="AG204">
        <v>1.7711699999999999</v>
      </c>
      <c r="AH204">
        <v>2.1254</v>
      </c>
      <c r="AI204">
        <v>9.0670599999999997</v>
      </c>
      <c r="AJ204" s="329">
        <v>524.17588999999998</v>
      </c>
      <c r="AL204">
        <v>0</v>
      </c>
      <c r="AQ204" t="s">
        <v>767</v>
      </c>
      <c r="AR204" t="s">
        <v>767</v>
      </c>
      <c r="AS204" t="s">
        <v>767</v>
      </c>
      <c r="AZ204">
        <v>0</v>
      </c>
      <c r="BA204" t="s">
        <v>1563</v>
      </c>
      <c r="BB204" t="s">
        <v>1505</v>
      </c>
      <c r="BC204" t="s">
        <v>1705</v>
      </c>
      <c r="BD204" t="s">
        <v>2055</v>
      </c>
      <c r="BE204" s="330">
        <v>43138.478460648148</v>
      </c>
      <c r="BH204" t="str">
        <f>VLOOKUP(B:B,výpočty!$Z$246:$Z$515,1,FALSE)</f>
        <v>R96089</v>
      </c>
    </row>
    <row r="205" spans="1:60" x14ac:dyDescent="0.25">
      <c r="A205">
        <v>112002</v>
      </c>
      <c r="B205" t="s">
        <v>450</v>
      </c>
      <c r="C205" t="s">
        <v>1145</v>
      </c>
      <c r="F205">
        <v>0</v>
      </c>
      <c r="G205">
        <v>222</v>
      </c>
      <c r="H205">
        <v>0</v>
      </c>
      <c r="I205">
        <v>0</v>
      </c>
      <c r="J205" t="s">
        <v>657</v>
      </c>
      <c r="L205">
        <v>1</v>
      </c>
      <c r="M205">
        <v>1</v>
      </c>
      <c r="N205">
        <v>1</v>
      </c>
      <c r="O205">
        <v>0</v>
      </c>
      <c r="R205">
        <v>0</v>
      </c>
      <c r="U205">
        <v>1</v>
      </c>
      <c r="V205">
        <v>0.219</v>
      </c>
      <c r="W205">
        <v>0</v>
      </c>
      <c r="X205">
        <v>1.4999999999999999E-2</v>
      </c>
      <c r="Y205">
        <v>0</v>
      </c>
      <c r="Z205" t="s">
        <v>767</v>
      </c>
      <c r="AA205">
        <v>20</v>
      </c>
      <c r="AB205">
        <v>1</v>
      </c>
      <c r="AC205">
        <v>1</v>
      </c>
      <c r="AD205">
        <v>0</v>
      </c>
      <c r="AE205">
        <v>46.619489999999999</v>
      </c>
      <c r="AF205">
        <v>56.409579999999998</v>
      </c>
      <c r="AG205">
        <v>1.7711699999999999</v>
      </c>
      <c r="AH205">
        <v>2.1254</v>
      </c>
      <c r="AI205">
        <v>9.0670599999999997</v>
      </c>
      <c r="AJ205" s="329">
        <v>524.17588999999998</v>
      </c>
      <c r="AL205">
        <v>0</v>
      </c>
      <c r="AQ205" t="s">
        <v>767</v>
      </c>
      <c r="AR205" t="s">
        <v>767</v>
      </c>
      <c r="AS205" t="s">
        <v>767</v>
      </c>
      <c r="AZ205">
        <v>0</v>
      </c>
      <c r="BA205" t="s">
        <v>1767</v>
      </c>
      <c r="BB205" t="s">
        <v>1504</v>
      </c>
      <c r="BC205" t="s">
        <v>1146</v>
      </c>
      <c r="BD205" t="s">
        <v>2055</v>
      </c>
      <c r="BE205" s="330">
        <v>43138.469259259262</v>
      </c>
      <c r="BH205" t="str">
        <f>VLOOKUP(B:B,výpočty!$Z$246:$Z$515,1,FALSE)</f>
        <v>R96088</v>
      </c>
    </row>
    <row r="206" spans="1:60" x14ac:dyDescent="0.25">
      <c r="A206">
        <v>112002</v>
      </c>
      <c r="B206" t="s">
        <v>655</v>
      </c>
      <c r="C206" t="s">
        <v>656</v>
      </c>
      <c r="F206">
        <v>0</v>
      </c>
      <c r="G206">
        <v>222</v>
      </c>
      <c r="H206">
        <v>0</v>
      </c>
      <c r="I206">
        <v>0</v>
      </c>
      <c r="J206" t="s">
        <v>657</v>
      </c>
      <c r="L206">
        <v>1</v>
      </c>
      <c r="M206">
        <v>1</v>
      </c>
      <c r="N206">
        <v>1</v>
      </c>
      <c r="O206">
        <v>0</v>
      </c>
      <c r="R206">
        <v>0</v>
      </c>
      <c r="U206">
        <v>1</v>
      </c>
      <c r="V206">
        <v>0</v>
      </c>
      <c r="W206">
        <v>0</v>
      </c>
      <c r="X206">
        <v>3.0000000000000001E-3</v>
      </c>
      <c r="Y206">
        <v>0</v>
      </c>
      <c r="Z206" t="s">
        <v>767</v>
      </c>
      <c r="AA206">
        <v>500</v>
      </c>
      <c r="AB206">
        <v>1</v>
      </c>
      <c r="AC206">
        <v>1</v>
      </c>
      <c r="AD206">
        <v>0</v>
      </c>
      <c r="AE206">
        <v>11.379099999999999</v>
      </c>
      <c r="AF206">
        <v>13.76871</v>
      </c>
      <c r="AG206">
        <v>0.43231000000000003</v>
      </c>
      <c r="AH206">
        <v>0.51876999999999995</v>
      </c>
      <c r="AI206">
        <v>2.21313</v>
      </c>
      <c r="AJ206" s="329">
        <v>127.94332</v>
      </c>
      <c r="AL206">
        <v>0</v>
      </c>
      <c r="AQ206" t="s">
        <v>767</v>
      </c>
      <c r="AR206" t="s">
        <v>767</v>
      </c>
      <c r="AS206" t="s">
        <v>767</v>
      </c>
      <c r="AZ206">
        <v>0</v>
      </c>
      <c r="BA206" t="s">
        <v>1730</v>
      </c>
      <c r="BB206" t="s">
        <v>1345</v>
      </c>
      <c r="BC206" t="s">
        <v>658</v>
      </c>
      <c r="BD206" t="s">
        <v>2055</v>
      </c>
      <c r="BE206" s="330">
        <v>43138.469074074077</v>
      </c>
      <c r="BH206" t="str">
        <f>VLOOKUP(B:B,výpočty!$Z$246:$Z$515,1,FALSE)</f>
        <v>R00013</v>
      </c>
    </row>
    <row r="207" spans="1:60" x14ac:dyDescent="0.25">
      <c r="A207">
        <v>112002</v>
      </c>
      <c r="B207" t="s">
        <v>451</v>
      </c>
      <c r="C207" t="s">
        <v>961</v>
      </c>
      <c r="F207">
        <v>0</v>
      </c>
      <c r="G207">
        <v>222</v>
      </c>
      <c r="H207">
        <v>0</v>
      </c>
      <c r="I207">
        <v>0</v>
      </c>
      <c r="J207" t="s">
        <v>643</v>
      </c>
      <c r="L207">
        <v>1</v>
      </c>
      <c r="M207">
        <v>1</v>
      </c>
      <c r="N207">
        <v>1</v>
      </c>
      <c r="O207">
        <v>0</v>
      </c>
      <c r="R207">
        <v>0</v>
      </c>
      <c r="U207">
        <v>1</v>
      </c>
      <c r="V207">
        <v>2.8000000000000001E-2</v>
      </c>
      <c r="W207">
        <v>0</v>
      </c>
      <c r="X207">
        <v>1E-3</v>
      </c>
      <c r="Y207">
        <v>0</v>
      </c>
      <c r="Z207" t="s">
        <v>767</v>
      </c>
      <c r="AA207" s="331">
        <v>1000</v>
      </c>
      <c r="AB207">
        <v>1</v>
      </c>
      <c r="AC207">
        <v>1</v>
      </c>
      <c r="AD207">
        <v>0</v>
      </c>
      <c r="AE207">
        <v>2.16</v>
      </c>
      <c r="AF207">
        <v>2.6135999999999999</v>
      </c>
      <c r="AG207">
        <v>8.2059999999999994E-2</v>
      </c>
      <c r="AH207">
        <v>9.8470000000000002E-2</v>
      </c>
      <c r="AI207">
        <v>0.42010999999999998</v>
      </c>
      <c r="AJ207" s="329">
        <v>24.28641</v>
      </c>
      <c r="AL207">
        <v>0</v>
      </c>
      <c r="AQ207" t="s">
        <v>767</v>
      </c>
      <c r="AR207" t="s">
        <v>767</v>
      </c>
      <c r="AS207" t="s">
        <v>767</v>
      </c>
      <c r="AZ207">
        <v>0</v>
      </c>
      <c r="BA207" t="s">
        <v>963</v>
      </c>
      <c r="BB207" t="s">
        <v>1439</v>
      </c>
      <c r="BC207" t="s">
        <v>962</v>
      </c>
      <c r="BD207" t="s">
        <v>2055</v>
      </c>
      <c r="BE207" s="330">
        <v>43138.470173611109</v>
      </c>
      <c r="BH207" t="str">
        <f>VLOOKUP(B:B,výpočty!$Z$246:$Z$515,1,FALSE)</f>
        <v>R92835</v>
      </c>
    </row>
    <row r="208" spans="1:60" x14ac:dyDescent="0.25">
      <c r="A208">
        <v>112002</v>
      </c>
      <c r="B208" t="s">
        <v>447</v>
      </c>
      <c r="C208" t="s">
        <v>966</v>
      </c>
      <c r="F208">
        <v>0</v>
      </c>
      <c r="G208">
        <v>222</v>
      </c>
      <c r="H208">
        <v>0</v>
      </c>
      <c r="I208">
        <v>0</v>
      </c>
      <c r="J208" t="s">
        <v>657</v>
      </c>
      <c r="L208">
        <v>1</v>
      </c>
      <c r="M208">
        <v>1</v>
      </c>
      <c r="N208">
        <v>1</v>
      </c>
      <c r="O208">
        <v>0</v>
      </c>
      <c r="R208">
        <v>0</v>
      </c>
      <c r="U208">
        <v>1</v>
      </c>
      <c r="V208">
        <v>0.219</v>
      </c>
      <c r="W208">
        <v>0</v>
      </c>
      <c r="X208">
        <v>4.4999999999999998E-2</v>
      </c>
      <c r="Y208">
        <v>0</v>
      </c>
      <c r="Z208" t="s">
        <v>767</v>
      </c>
      <c r="AA208">
        <v>20</v>
      </c>
      <c r="AB208">
        <v>1</v>
      </c>
      <c r="AC208">
        <v>1</v>
      </c>
      <c r="AD208">
        <v>0</v>
      </c>
      <c r="AE208">
        <v>34.901539999999997</v>
      </c>
      <c r="AF208">
        <v>42.23086</v>
      </c>
      <c r="AG208">
        <v>1.3259799999999999</v>
      </c>
      <c r="AH208">
        <v>1.59118</v>
      </c>
      <c r="AI208">
        <v>6.78803</v>
      </c>
      <c r="AJ208" s="329">
        <v>392.42266000000001</v>
      </c>
      <c r="AL208">
        <v>0</v>
      </c>
      <c r="AQ208" t="s">
        <v>767</v>
      </c>
      <c r="AR208" t="s">
        <v>767</v>
      </c>
      <c r="AS208" t="s">
        <v>767</v>
      </c>
      <c r="AZ208">
        <v>0</v>
      </c>
      <c r="BA208" t="s">
        <v>968</v>
      </c>
      <c r="BB208" t="s">
        <v>1442</v>
      </c>
      <c r="BC208" t="s">
        <v>967</v>
      </c>
      <c r="BD208" t="s">
        <v>2055</v>
      </c>
      <c r="BE208" s="330">
        <v>43138.469247685185</v>
      </c>
      <c r="BH208" t="str">
        <f>VLOOKUP(B:B,výpočty!$Z$246:$Z$515,1,FALSE)</f>
        <v>R92838</v>
      </c>
    </row>
    <row r="209" spans="1:60" x14ac:dyDescent="0.25">
      <c r="A209">
        <v>112002</v>
      </c>
      <c r="B209" t="s">
        <v>453</v>
      </c>
      <c r="C209" t="s">
        <v>1165</v>
      </c>
      <c r="F209">
        <v>0</v>
      </c>
      <c r="G209">
        <v>222</v>
      </c>
      <c r="H209">
        <v>0</v>
      </c>
      <c r="I209">
        <v>0</v>
      </c>
      <c r="J209" t="s">
        <v>657</v>
      </c>
      <c r="L209">
        <v>1</v>
      </c>
      <c r="M209">
        <v>1</v>
      </c>
      <c r="N209">
        <v>1</v>
      </c>
      <c r="O209">
        <v>0</v>
      </c>
      <c r="R209">
        <v>0</v>
      </c>
      <c r="U209">
        <v>1</v>
      </c>
      <c r="V209">
        <v>0.219</v>
      </c>
      <c r="W209">
        <v>0</v>
      </c>
      <c r="X209">
        <v>2.5000000000000001E-2</v>
      </c>
      <c r="Y209">
        <v>0</v>
      </c>
      <c r="Z209" t="s">
        <v>767</v>
      </c>
      <c r="AA209">
        <v>20</v>
      </c>
      <c r="AB209">
        <v>1</v>
      </c>
      <c r="AC209">
        <v>1</v>
      </c>
      <c r="AD209">
        <v>0</v>
      </c>
      <c r="AE209">
        <v>67.747990000000001</v>
      </c>
      <c r="AF209">
        <v>81.975070000000002</v>
      </c>
      <c r="AG209">
        <v>2.5738699999999999</v>
      </c>
      <c r="AH209">
        <v>3.0886399999999998</v>
      </c>
      <c r="AI209">
        <v>13.17637</v>
      </c>
      <c r="AJ209" s="329">
        <v>761.73868000000004</v>
      </c>
      <c r="AL209">
        <v>0</v>
      </c>
      <c r="AQ209" t="s">
        <v>767</v>
      </c>
      <c r="AR209" t="s">
        <v>767</v>
      </c>
      <c r="AS209" t="s">
        <v>767</v>
      </c>
      <c r="AZ209">
        <v>0</v>
      </c>
      <c r="BA209" t="s">
        <v>1167</v>
      </c>
      <c r="BB209" t="s">
        <v>1513</v>
      </c>
      <c r="BC209" t="s">
        <v>1166</v>
      </c>
      <c r="BD209" t="s">
        <v>2055</v>
      </c>
      <c r="BE209" s="330">
        <v>43138.469212962962</v>
      </c>
      <c r="BH209" t="str">
        <f>VLOOKUP(B:B,výpočty!$Z$246:$Z$515,1,FALSE)</f>
        <v>R96941</v>
      </c>
    </row>
    <row r="210" spans="1:60" x14ac:dyDescent="0.25">
      <c r="A210">
        <v>112002</v>
      </c>
      <c r="B210" t="s">
        <v>459</v>
      </c>
      <c r="C210" t="s">
        <v>811</v>
      </c>
      <c r="F210">
        <v>0</v>
      </c>
      <c r="G210">
        <v>222</v>
      </c>
      <c r="H210">
        <v>0</v>
      </c>
      <c r="I210">
        <v>0</v>
      </c>
      <c r="J210" t="s">
        <v>657</v>
      </c>
      <c r="L210">
        <v>1</v>
      </c>
      <c r="M210">
        <v>1</v>
      </c>
      <c r="N210">
        <v>1</v>
      </c>
      <c r="O210">
        <v>0</v>
      </c>
      <c r="R210">
        <v>0</v>
      </c>
      <c r="U210">
        <v>1</v>
      </c>
      <c r="V210">
        <v>0.219</v>
      </c>
      <c r="W210">
        <v>0</v>
      </c>
      <c r="X210">
        <v>1.9E-2</v>
      </c>
      <c r="Y210">
        <v>0</v>
      </c>
      <c r="Z210" t="s">
        <v>767</v>
      </c>
      <c r="AA210">
        <v>20</v>
      </c>
      <c r="AB210">
        <v>1</v>
      </c>
      <c r="AC210">
        <v>1</v>
      </c>
      <c r="AD210">
        <v>0</v>
      </c>
      <c r="AE210">
        <v>30.464040000000001</v>
      </c>
      <c r="AF210">
        <v>36.861490000000003</v>
      </c>
      <c r="AG210">
        <v>1.1573800000000001</v>
      </c>
      <c r="AH210">
        <v>1.38886</v>
      </c>
      <c r="AI210">
        <v>5.9249700000000001</v>
      </c>
      <c r="AJ210" s="329">
        <v>342.52873</v>
      </c>
      <c r="AL210">
        <v>0</v>
      </c>
      <c r="AQ210" t="s">
        <v>767</v>
      </c>
      <c r="AR210" t="s">
        <v>767</v>
      </c>
      <c r="AS210" t="s">
        <v>767</v>
      </c>
      <c r="AZ210">
        <v>0</v>
      </c>
      <c r="BA210" t="s">
        <v>813</v>
      </c>
      <c r="BB210" t="s">
        <v>1384</v>
      </c>
      <c r="BC210" t="s">
        <v>812</v>
      </c>
      <c r="BD210" t="s">
        <v>2055</v>
      </c>
      <c r="BE210" s="330">
        <v>43138.474398148152</v>
      </c>
      <c r="BH210" t="str">
        <f>VLOOKUP(B:B,výpočty!$Z$246:$Z$515,1,FALSE)</f>
        <v>R77014</v>
      </c>
    </row>
    <row r="211" spans="1:60" x14ac:dyDescent="0.25">
      <c r="A211">
        <v>112002</v>
      </c>
      <c r="B211" t="s">
        <v>458</v>
      </c>
      <c r="C211" t="s">
        <v>868</v>
      </c>
      <c r="F211">
        <v>0</v>
      </c>
      <c r="G211">
        <v>222</v>
      </c>
      <c r="H211">
        <v>0</v>
      </c>
      <c r="I211">
        <v>0</v>
      </c>
      <c r="J211" t="s">
        <v>657</v>
      </c>
      <c r="L211">
        <v>1</v>
      </c>
      <c r="M211">
        <v>1</v>
      </c>
      <c r="N211">
        <v>1</v>
      </c>
      <c r="O211">
        <v>0</v>
      </c>
      <c r="R211">
        <v>0</v>
      </c>
      <c r="U211">
        <v>1</v>
      </c>
      <c r="V211">
        <v>0.219</v>
      </c>
      <c r="W211">
        <v>0</v>
      </c>
      <c r="X211">
        <v>1.9E-2</v>
      </c>
      <c r="Y211">
        <v>0</v>
      </c>
      <c r="Z211" t="s">
        <v>767</v>
      </c>
      <c r="AA211">
        <v>20</v>
      </c>
      <c r="AB211">
        <v>1</v>
      </c>
      <c r="AC211">
        <v>1</v>
      </c>
      <c r="AD211">
        <v>0</v>
      </c>
      <c r="AE211">
        <v>30.464040000000001</v>
      </c>
      <c r="AF211">
        <v>36.861490000000003</v>
      </c>
      <c r="AG211">
        <v>1.1573800000000001</v>
      </c>
      <c r="AH211">
        <v>1.38886</v>
      </c>
      <c r="AI211">
        <v>5.9249700000000001</v>
      </c>
      <c r="AJ211" s="329">
        <v>342.52873</v>
      </c>
      <c r="AL211">
        <v>0</v>
      </c>
      <c r="AQ211" t="s">
        <v>767</v>
      </c>
      <c r="AR211" t="s">
        <v>767</v>
      </c>
      <c r="AS211" t="s">
        <v>767</v>
      </c>
      <c r="AZ211">
        <v>0</v>
      </c>
      <c r="BA211" t="s">
        <v>870</v>
      </c>
      <c r="BB211" t="s">
        <v>1405</v>
      </c>
      <c r="BC211" t="s">
        <v>869</v>
      </c>
      <c r="BD211" t="s">
        <v>2055</v>
      </c>
      <c r="BE211" s="330">
        <v>43138.469236111108</v>
      </c>
      <c r="BH211" t="str">
        <f>VLOOKUP(B:B,výpočty!$Z$246:$Z$515,1,FALSE)</f>
        <v>R88216</v>
      </c>
    </row>
    <row r="212" spans="1:60" x14ac:dyDescent="0.25">
      <c r="A212">
        <v>112002</v>
      </c>
      <c r="B212" t="s">
        <v>454</v>
      </c>
      <c r="C212" t="s">
        <v>927</v>
      </c>
      <c r="F212">
        <v>0</v>
      </c>
      <c r="G212">
        <v>222</v>
      </c>
      <c r="H212">
        <v>0</v>
      </c>
      <c r="I212">
        <v>0</v>
      </c>
      <c r="J212" t="s">
        <v>657</v>
      </c>
      <c r="L212">
        <v>1</v>
      </c>
      <c r="M212">
        <v>1</v>
      </c>
      <c r="N212">
        <v>1</v>
      </c>
      <c r="O212">
        <v>0</v>
      </c>
      <c r="R212">
        <v>0</v>
      </c>
      <c r="U212">
        <v>1</v>
      </c>
      <c r="V212">
        <v>0.219</v>
      </c>
      <c r="W212">
        <v>0</v>
      </c>
      <c r="X212">
        <v>2.5000000000000001E-2</v>
      </c>
      <c r="Y212">
        <v>0</v>
      </c>
      <c r="Z212" t="s">
        <v>767</v>
      </c>
      <c r="AA212">
        <v>20</v>
      </c>
      <c r="AB212">
        <v>1</v>
      </c>
      <c r="AC212">
        <v>1</v>
      </c>
      <c r="AD212">
        <v>0</v>
      </c>
      <c r="AE212">
        <v>67.747990000000001</v>
      </c>
      <c r="AF212">
        <v>81.975070000000002</v>
      </c>
      <c r="AG212">
        <v>2.5738699999999999</v>
      </c>
      <c r="AH212">
        <v>3.0886399999999998</v>
      </c>
      <c r="AI212">
        <v>13.17637</v>
      </c>
      <c r="AJ212" s="329">
        <v>761.73868000000004</v>
      </c>
      <c r="AL212">
        <v>0</v>
      </c>
      <c r="AQ212" t="s">
        <v>767</v>
      </c>
      <c r="AR212" t="s">
        <v>767</v>
      </c>
      <c r="AS212" t="s">
        <v>767</v>
      </c>
      <c r="AZ212">
        <v>0</v>
      </c>
      <c r="BA212" t="s">
        <v>929</v>
      </c>
      <c r="BB212" t="s">
        <v>1426</v>
      </c>
      <c r="BC212" t="s">
        <v>928</v>
      </c>
      <c r="BD212" t="s">
        <v>2055</v>
      </c>
      <c r="BE212" s="330">
        <v>43138.470312500001</v>
      </c>
      <c r="BH212" t="str">
        <f>VLOOKUP(B:B,výpočty!$Z$246:$Z$515,1,FALSE)</f>
        <v>R92817</v>
      </c>
    </row>
    <row r="213" spans="1:60" x14ac:dyDescent="0.25">
      <c r="A213">
        <v>112002</v>
      </c>
      <c r="B213" t="s">
        <v>455</v>
      </c>
      <c r="C213" t="s">
        <v>1107</v>
      </c>
      <c r="F213">
        <v>0</v>
      </c>
      <c r="G213">
        <v>222</v>
      </c>
      <c r="H213">
        <v>0</v>
      </c>
      <c r="I213">
        <v>0</v>
      </c>
      <c r="J213" t="s">
        <v>657</v>
      </c>
      <c r="L213">
        <v>1</v>
      </c>
      <c r="M213">
        <v>1</v>
      </c>
      <c r="N213">
        <v>1</v>
      </c>
      <c r="O213">
        <v>0</v>
      </c>
      <c r="R213">
        <v>0</v>
      </c>
      <c r="U213">
        <v>1</v>
      </c>
      <c r="V213">
        <v>0.219</v>
      </c>
      <c r="W213">
        <v>0</v>
      </c>
      <c r="X213">
        <v>2.5000000000000001E-2</v>
      </c>
      <c r="Y213">
        <v>0</v>
      </c>
      <c r="Z213" t="s">
        <v>767</v>
      </c>
      <c r="AA213">
        <v>20</v>
      </c>
      <c r="AB213">
        <v>1</v>
      </c>
      <c r="AC213">
        <v>1</v>
      </c>
      <c r="AD213">
        <v>1</v>
      </c>
      <c r="AE213">
        <v>67.747990000000001</v>
      </c>
      <c r="AF213" s="329">
        <v>81.975070000000002</v>
      </c>
      <c r="AG213">
        <v>2.5738699999999999</v>
      </c>
      <c r="AH213">
        <v>3.0886399999999998</v>
      </c>
      <c r="AI213">
        <v>13.17637</v>
      </c>
      <c r="AJ213" s="329">
        <v>761.73868000000004</v>
      </c>
      <c r="AL213">
        <v>0</v>
      </c>
      <c r="AQ213" t="s">
        <v>767</v>
      </c>
      <c r="AR213" t="s">
        <v>767</v>
      </c>
      <c r="AS213" t="s">
        <v>767</v>
      </c>
      <c r="AZ213">
        <v>0</v>
      </c>
      <c r="BA213" t="s">
        <v>1109</v>
      </c>
      <c r="BB213" t="s">
        <v>1489</v>
      </c>
      <c r="BC213" t="s">
        <v>1108</v>
      </c>
      <c r="BD213" t="s">
        <v>2055</v>
      </c>
      <c r="BE213" s="330">
        <v>43138.469201388885</v>
      </c>
      <c r="BH213" t="str">
        <f>VLOOKUP(B:B,výpočty!$Z$246:$Z$515,1,FALSE)</f>
        <v>R95974</v>
      </c>
    </row>
    <row r="214" spans="1:60" x14ac:dyDescent="0.25">
      <c r="A214">
        <v>112002</v>
      </c>
      <c r="B214" t="s">
        <v>1527</v>
      </c>
      <c r="C214" t="s">
        <v>1554</v>
      </c>
      <c r="F214">
        <v>0</v>
      </c>
      <c r="G214">
        <v>222</v>
      </c>
      <c r="H214">
        <v>0</v>
      </c>
      <c r="I214">
        <v>0</v>
      </c>
      <c r="J214" t="s">
        <v>657</v>
      </c>
      <c r="L214">
        <v>1</v>
      </c>
      <c r="M214">
        <v>1</v>
      </c>
      <c r="N214">
        <v>1</v>
      </c>
      <c r="O214">
        <v>0</v>
      </c>
      <c r="R214">
        <v>0</v>
      </c>
      <c r="U214">
        <v>1</v>
      </c>
      <c r="V214">
        <v>0.219</v>
      </c>
      <c r="W214">
        <v>0</v>
      </c>
      <c r="X214">
        <v>2.5000000000000001E-2</v>
      </c>
      <c r="Y214">
        <v>0</v>
      </c>
      <c r="Z214" t="s">
        <v>767</v>
      </c>
      <c r="AA214">
        <v>20</v>
      </c>
      <c r="AB214">
        <v>1</v>
      </c>
      <c r="AC214">
        <v>1</v>
      </c>
      <c r="AD214">
        <v>0</v>
      </c>
      <c r="AE214">
        <v>67.747990000000001</v>
      </c>
      <c r="AF214">
        <v>81.975070000000002</v>
      </c>
      <c r="AG214">
        <v>2.5738699999999999</v>
      </c>
      <c r="AH214">
        <v>3.0886399999999998</v>
      </c>
      <c r="AI214">
        <v>13.17637</v>
      </c>
      <c r="AJ214" s="329">
        <v>761.73868000000004</v>
      </c>
      <c r="AL214">
        <v>0</v>
      </c>
      <c r="AQ214" t="s">
        <v>767</v>
      </c>
      <c r="AR214" t="s">
        <v>767</v>
      </c>
      <c r="AS214" t="s">
        <v>767</v>
      </c>
      <c r="AZ214">
        <v>0</v>
      </c>
      <c r="BA214" t="s">
        <v>1648</v>
      </c>
      <c r="BB214" t="s">
        <v>1697</v>
      </c>
      <c r="BC214" t="s">
        <v>1708</v>
      </c>
      <c r="BD214" t="s">
        <v>2055</v>
      </c>
      <c r="BE214" s="330">
        <v>43138.436215277776</v>
      </c>
      <c r="BH214" t="str">
        <f>VLOOKUP(B:B,výpočty!$Z$246:$Z$515,1,FALSE)</f>
        <v>R00068</v>
      </c>
    </row>
    <row r="215" spans="1:60" x14ac:dyDescent="0.25">
      <c r="A215">
        <v>112002</v>
      </c>
      <c r="B215" t="s">
        <v>457</v>
      </c>
      <c r="C215" t="s">
        <v>943</v>
      </c>
      <c r="F215">
        <v>0</v>
      </c>
      <c r="G215">
        <v>222</v>
      </c>
      <c r="H215">
        <v>0</v>
      </c>
      <c r="I215">
        <v>0</v>
      </c>
      <c r="J215" t="s">
        <v>657</v>
      </c>
      <c r="L215">
        <v>1</v>
      </c>
      <c r="M215">
        <v>1</v>
      </c>
      <c r="N215">
        <v>1</v>
      </c>
      <c r="O215">
        <v>0</v>
      </c>
      <c r="R215">
        <v>0</v>
      </c>
      <c r="U215">
        <v>1</v>
      </c>
      <c r="V215">
        <v>0.219</v>
      </c>
      <c r="W215">
        <v>0</v>
      </c>
      <c r="X215">
        <v>1.9E-2</v>
      </c>
      <c r="Y215">
        <v>0</v>
      </c>
      <c r="Z215" t="s">
        <v>767</v>
      </c>
      <c r="AA215">
        <v>20</v>
      </c>
      <c r="AB215">
        <v>1</v>
      </c>
      <c r="AC215">
        <v>1</v>
      </c>
      <c r="AD215">
        <v>0</v>
      </c>
      <c r="AE215">
        <v>30.464040000000001</v>
      </c>
      <c r="AF215">
        <v>36.861490000000003</v>
      </c>
      <c r="AG215">
        <v>1.1573800000000001</v>
      </c>
      <c r="AH215">
        <v>1.38886</v>
      </c>
      <c r="AI215">
        <v>5.9249700000000001</v>
      </c>
      <c r="AJ215">
        <v>342.52873</v>
      </c>
      <c r="AL215">
        <v>0</v>
      </c>
      <c r="AQ215" t="s">
        <v>767</v>
      </c>
      <c r="AR215" t="s">
        <v>767</v>
      </c>
      <c r="AS215" t="s">
        <v>767</v>
      </c>
      <c r="AZ215">
        <v>0</v>
      </c>
      <c r="BA215" t="s">
        <v>945</v>
      </c>
      <c r="BB215" t="s">
        <v>1432</v>
      </c>
      <c r="BC215" t="s">
        <v>944</v>
      </c>
      <c r="BD215" t="s">
        <v>2055</v>
      </c>
      <c r="BE215" s="330">
        <v>43138.474386574075</v>
      </c>
      <c r="BH215" t="str">
        <f>VLOOKUP(B:B,výpočty!$Z$246:$Z$515,1,FALSE)</f>
        <v>R92824</v>
      </c>
    </row>
    <row r="216" spans="1:60" x14ac:dyDescent="0.25">
      <c r="A216">
        <v>112002</v>
      </c>
      <c r="B216" t="s">
        <v>456</v>
      </c>
      <c r="C216" t="s">
        <v>896</v>
      </c>
      <c r="F216">
        <v>0</v>
      </c>
      <c r="G216">
        <v>222</v>
      </c>
      <c r="H216">
        <v>0</v>
      </c>
      <c r="I216">
        <v>0</v>
      </c>
      <c r="J216" t="s">
        <v>657</v>
      </c>
      <c r="L216">
        <v>1</v>
      </c>
      <c r="M216">
        <v>1</v>
      </c>
      <c r="N216">
        <v>1</v>
      </c>
      <c r="O216">
        <v>0</v>
      </c>
      <c r="R216">
        <v>0</v>
      </c>
      <c r="U216">
        <v>1</v>
      </c>
      <c r="V216">
        <v>0.219</v>
      </c>
      <c r="W216">
        <v>0</v>
      </c>
      <c r="X216">
        <v>1.9E-2</v>
      </c>
      <c r="Y216">
        <v>0</v>
      </c>
      <c r="Z216" t="s">
        <v>767</v>
      </c>
      <c r="AA216">
        <v>20</v>
      </c>
      <c r="AB216">
        <v>1</v>
      </c>
      <c r="AC216">
        <v>1</v>
      </c>
      <c r="AD216">
        <v>0</v>
      </c>
      <c r="AE216">
        <v>30.464040000000001</v>
      </c>
      <c r="AF216">
        <v>36.861490000000003</v>
      </c>
      <c r="AG216">
        <v>1.1573800000000001</v>
      </c>
      <c r="AH216">
        <v>1.38886</v>
      </c>
      <c r="AI216">
        <v>5.9249700000000001</v>
      </c>
      <c r="AJ216" s="329">
        <v>342.52873</v>
      </c>
      <c r="AL216">
        <v>0</v>
      </c>
      <c r="AQ216" t="s">
        <v>767</v>
      </c>
      <c r="AR216" t="s">
        <v>767</v>
      </c>
      <c r="AS216" t="s">
        <v>767</v>
      </c>
      <c r="AZ216">
        <v>0</v>
      </c>
      <c r="BA216" t="s">
        <v>898</v>
      </c>
      <c r="BB216" t="s">
        <v>1416</v>
      </c>
      <c r="BC216" t="s">
        <v>897</v>
      </c>
      <c r="BD216" t="s">
        <v>2055</v>
      </c>
      <c r="BE216" s="330">
        <v>43138.474386574075</v>
      </c>
      <c r="BH216" t="str">
        <f>VLOOKUP(B:B,výpočty!$Z$246:$Z$515,1,FALSE)</f>
        <v>R88306</v>
      </c>
    </row>
    <row r="217" spans="1:60" x14ac:dyDescent="0.25">
      <c r="A217">
        <v>112002</v>
      </c>
      <c r="B217" t="s">
        <v>1155</v>
      </c>
      <c r="C217" t="s">
        <v>1156</v>
      </c>
      <c r="F217">
        <v>0</v>
      </c>
      <c r="G217">
        <v>222</v>
      </c>
      <c r="H217">
        <v>0</v>
      </c>
      <c r="I217">
        <v>0</v>
      </c>
      <c r="J217" t="s">
        <v>1727</v>
      </c>
      <c r="L217">
        <v>1</v>
      </c>
      <c r="M217">
        <v>1</v>
      </c>
      <c r="N217">
        <v>1</v>
      </c>
      <c r="O217">
        <v>0</v>
      </c>
      <c r="R217">
        <v>0</v>
      </c>
      <c r="U217">
        <v>1</v>
      </c>
      <c r="V217">
        <v>0.65</v>
      </c>
      <c r="W217">
        <v>0</v>
      </c>
      <c r="X217">
        <v>6.7000000000000004E-2</v>
      </c>
      <c r="Y217">
        <v>0</v>
      </c>
      <c r="Z217" t="s">
        <v>767</v>
      </c>
      <c r="AA217">
        <v>50</v>
      </c>
      <c r="AB217">
        <v>2.5</v>
      </c>
      <c r="AC217">
        <v>1</v>
      </c>
      <c r="AD217">
        <v>0</v>
      </c>
      <c r="AE217">
        <v>73.900170000000003</v>
      </c>
      <c r="AF217">
        <v>89.419210000000007</v>
      </c>
      <c r="AG217">
        <v>2.8076099999999999</v>
      </c>
      <c r="AH217">
        <v>3.3691300000000002</v>
      </c>
      <c r="AI217">
        <v>14.372909999999999</v>
      </c>
      <c r="AJ217" s="329">
        <v>830.91197</v>
      </c>
      <c r="AL217">
        <v>0</v>
      </c>
      <c r="AQ217" t="s">
        <v>767</v>
      </c>
      <c r="AR217" t="s">
        <v>767</v>
      </c>
      <c r="AS217" t="s">
        <v>767</v>
      </c>
      <c r="AZ217">
        <v>0</v>
      </c>
      <c r="BA217" t="s">
        <v>1750</v>
      </c>
      <c r="BB217" t="s">
        <v>1510</v>
      </c>
      <c r="BC217" t="s">
        <v>1157</v>
      </c>
      <c r="BD217" t="s">
        <v>2055</v>
      </c>
      <c r="BE217" s="330">
        <v>43138.469085648147</v>
      </c>
      <c r="BH217" t="str">
        <f>VLOOKUP(B:B,výpočty!$Z$246:$Z$515,1,FALSE)</f>
        <v>R96930</v>
      </c>
    </row>
    <row r="218" spans="1:60" x14ac:dyDescent="0.25">
      <c r="A218">
        <v>112002</v>
      </c>
      <c r="B218" t="s">
        <v>1158</v>
      </c>
      <c r="C218" t="s">
        <v>1159</v>
      </c>
      <c r="F218">
        <v>0</v>
      </c>
      <c r="G218">
        <v>222</v>
      </c>
      <c r="H218">
        <v>0</v>
      </c>
      <c r="I218">
        <v>0</v>
      </c>
      <c r="J218" t="s">
        <v>1727</v>
      </c>
      <c r="L218">
        <v>1</v>
      </c>
      <c r="M218">
        <v>1</v>
      </c>
      <c r="N218">
        <v>1</v>
      </c>
      <c r="O218">
        <v>0</v>
      </c>
      <c r="R218">
        <v>0</v>
      </c>
      <c r="U218">
        <v>1</v>
      </c>
      <c r="V218">
        <v>0.65</v>
      </c>
      <c r="W218">
        <v>0</v>
      </c>
      <c r="X218">
        <v>6.7000000000000004E-2</v>
      </c>
      <c r="Y218">
        <v>0</v>
      </c>
      <c r="Z218" t="s">
        <v>767</v>
      </c>
      <c r="AA218">
        <v>50</v>
      </c>
      <c r="AB218">
        <v>2.5</v>
      </c>
      <c r="AC218">
        <v>1</v>
      </c>
      <c r="AD218">
        <v>0</v>
      </c>
      <c r="AE218">
        <v>73.900170000000003</v>
      </c>
      <c r="AF218">
        <v>89.419210000000007</v>
      </c>
      <c r="AG218">
        <v>2.8076099999999999</v>
      </c>
      <c r="AH218">
        <v>3.3691300000000002</v>
      </c>
      <c r="AI218">
        <v>14.372909999999999</v>
      </c>
      <c r="AJ218" s="329">
        <v>830.91197</v>
      </c>
      <c r="AL218">
        <v>0</v>
      </c>
      <c r="AQ218" t="s">
        <v>767</v>
      </c>
      <c r="AR218" t="s">
        <v>767</v>
      </c>
      <c r="AS218" t="s">
        <v>767</v>
      </c>
      <c r="AZ218">
        <v>0</v>
      </c>
      <c r="BA218" t="s">
        <v>1161</v>
      </c>
      <c r="BB218" t="s">
        <v>1511</v>
      </c>
      <c r="BC218" t="s">
        <v>1160</v>
      </c>
      <c r="BD218" t="s">
        <v>2055</v>
      </c>
      <c r="BE218" s="330">
        <v>43138.470196759263</v>
      </c>
      <c r="BH218" t="str">
        <f>VLOOKUP(B:B,výpočty!$Z$246:$Z$515,1,FALSE)</f>
        <v>R96939</v>
      </c>
    </row>
    <row r="219" spans="1:60" x14ac:dyDescent="0.25">
      <c r="A219">
        <v>112002</v>
      </c>
      <c r="B219" t="s">
        <v>1709</v>
      </c>
      <c r="C219" t="s">
        <v>1737</v>
      </c>
      <c r="F219">
        <v>0</v>
      </c>
      <c r="G219">
        <v>222</v>
      </c>
      <c r="H219">
        <v>0</v>
      </c>
      <c r="I219">
        <v>0</v>
      </c>
      <c r="J219" t="s">
        <v>643</v>
      </c>
      <c r="L219">
        <v>1</v>
      </c>
      <c r="M219">
        <v>1</v>
      </c>
      <c r="N219">
        <v>1</v>
      </c>
      <c r="O219">
        <v>0</v>
      </c>
      <c r="R219">
        <v>0</v>
      </c>
      <c r="U219">
        <v>1</v>
      </c>
      <c r="V219">
        <v>0.1</v>
      </c>
      <c r="W219">
        <v>0</v>
      </c>
      <c r="X219">
        <v>0.05</v>
      </c>
      <c r="Y219">
        <v>0</v>
      </c>
      <c r="Z219" t="s">
        <v>767</v>
      </c>
      <c r="AA219">
        <v>10</v>
      </c>
      <c r="AB219">
        <v>1</v>
      </c>
      <c r="AC219">
        <v>1</v>
      </c>
      <c r="AD219">
        <v>0</v>
      </c>
      <c r="AE219">
        <v>96.842479999999995</v>
      </c>
      <c r="AF219">
        <v>117.1794</v>
      </c>
      <c r="AG219">
        <v>3.6792400000000001</v>
      </c>
      <c r="AH219">
        <v>4.4150900000000002</v>
      </c>
      <c r="AI219">
        <v>18.834969999999998</v>
      </c>
      <c r="AJ219" s="329">
        <v>1088.8685499999999</v>
      </c>
      <c r="AL219">
        <v>0</v>
      </c>
      <c r="AQ219" t="s">
        <v>767</v>
      </c>
      <c r="AR219" t="s">
        <v>767</v>
      </c>
      <c r="AS219" t="s">
        <v>767</v>
      </c>
      <c r="AZ219">
        <v>0</v>
      </c>
      <c r="BA219" t="s">
        <v>1738</v>
      </c>
      <c r="BB219" t="s">
        <v>1710</v>
      </c>
      <c r="BC219" t="s">
        <v>1862</v>
      </c>
      <c r="BD219" t="s">
        <v>2055</v>
      </c>
      <c r="BE219" s="330">
        <v>43138.437824074077</v>
      </c>
      <c r="BH219" t="str">
        <f>VLOOKUP(B:B,výpočty!$Z$246:$Z$515,1,FALSE)</f>
        <v>R00069</v>
      </c>
    </row>
    <row r="220" spans="1:60" x14ac:dyDescent="0.25">
      <c r="AJ220" s="329"/>
      <c r="BE220" s="330"/>
    </row>
    <row r="221" spans="1:60" x14ac:dyDescent="0.25">
      <c r="AJ221" s="329"/>
      <c r="BE221" s="330"/>
    </row>
    <row r="222" spans="1:60" x14ac:dyDescent="0.25">
      <c r="AJ222" s="329"/>
      <c r="BE222" s="330"/>
    </row>
    <row r="223" spans="1:60" x14ac:dyDescent="0.25">
      <c r="AJ223" s="329"/>
      <c r="BE223" s="330"/>
    </row>
    <row r="224" spans="1:60" x14ac:dyDescent="0.25">
      <c r="AJ224" s="329"/>
      <c r="BE224" s="330"/>
    </row>
    <row r="225" spans="2:57" x14ac:dyDescent="0.25">
      <c r="AJ225" s="329"/>
      <c r="BE225" s="330"/>
    </row>
    <row r="226" spans="2:57" x14ac:dyDescent="0.25">
      <c r="AJ226" s="329"/>
      <c r="BE226" s="330"/>
    </row>
    <row r="227" spans="2:57" x14ac:dyDescent="0.25">
      <c r="AJ227" s="329"/>
      <c r="BE227" s="330"/>
    </row>
    <row r="228" spans="2:57" x14ac:dyDescent="0.25">
      <c r="AJ228" s="329"/>
      <c r="BE228" s="330"/>
    </row>
    <row r="229" spans="2:57" x14ac:dyDescent="0.25">
      <c r="AJ229" s="329"/>
      <c r="BE229" s="330"/>
    </row>
    <row r="230" spans="2:57" x14ac:dyDescent="0.25">
      <c r="AJ230" s="329"/>
      <c r="BE230" s="330"/>
    </row>
    <row r="231" spans="2:57" x14ac:dyDescent="0.25">
      <c r="AJ231" s="329"/>
      <c r="BE231" s="330"/>
    </row>
    <row r="232" spans="2:57" x14ac:dyDescent="0.25">
      <c r="AJ232" s="329"/>
      <c r="BE232" s="330"/>
    </row>
    <row r="233" spans="2:57" x14ac:dyDescent="0.25">
      <c r="AJ233" s="329"/>
      <c r="BE233" s="330"/>
    </row>
    <row r="234" spans="2:57" x14ac:dyDescent="0.25">
      <c r="AJ234" s="329"/>
      <c r="BE234" s="330"/>
    </row>
    <row r="235" spans="2:57" x14ac:dyDescent="0.25">
      <c r="B235">
        <v>1</v>
      </c>
      <c r="C235">
        <v>2</v>
      </c>
      <c r="D235">
        <v>3</v>
      </c>
      <c r="E235">
        <v>4</v>
      </c>
      <c r="F235">
        <v>5</v>
      </c>
      <c r="G235">
        <v>6</v>
      </c>
      <c r="H235">
        <v>7</v>
      </c>
      <c r="I235">
        <v>8</v>
      </c>
      <c r="J235">
        <v>9</v>
      </c>
      <c r="K235">
        <v>10</v>
      </c>
      <c r="L235">
        <v>11</v>
      </c>
      <c r="M235">
        <v>12</v>
      </c>
      <c r="N235">
        <v>13</v>
      </c>
      <c r="O235">
        <v>14</v>
      </c>
      <c r="P235">
        <v>15</v>
      </c>
      <c r="Q235">
        <v>16</v>
      </c>
      <c r="R235">
        <v>17</v>
      </c>
      <c r="S235">
        <v>18</v>
      </c>
      <c r="T235">
        <v>19</v>
      </c>
      <c r="U235">
        <v>20</v>
      </c>
      <c r="V235">
        <v>21</v>
      </c>
      <c r="W235">
        <v>22</v>
      </c>
      <c r="X235">
        <v>23</v>
      </c>
      <c r="Y235">
        <v>24</v>
      </c>
      <c r="Z235">
        <v>25</v>
      </c>
      <c r="AA235">
        <v>26</v>
      </c>
      <c r="AB235">
        <v>27</v>
      </c>
      <c r="AC235">
        <v>28</v>
      </c>
      <c r="AD235">
        <v>29</v>
      </c>
      <c r="AE235">
        <v>30</v>
      </c>
      <c r="AF235">
        <v>31</v>
      </c>
      <c r="AG235">
        <v>32</v>
      </c>
      <c r="AH235">
        <v>33</v>
      </c>
      <c r="AI235">
        <v>34</v>
      </c>
      <c r="AJ235">
        <v>35</v>
      </c>
      <c r="AK235">
        <v>36</v>
      </c>
      <c r="AL235">
        <v>37</v>
      </c>
      <c r="AM235">
        <v>38</v>
      </c>
      <c r="AN235">
        <v>39</v>
      </c>
      <c r="AO235">
        <v>40</v>
      </c>
      <c r="AP235">
        <v>41</v>
      </c>
      <c r="AQ235">
        <v>42</v>
      </c>
      <c r="AR235">
        <v>43</v>
      </c>
      <c r="AS235">
        <v>44</v>
      </c>
      <c r="AT235">
        <v>45</v>
      </c>
      <c r="AU235">
        <v>46</v>
      </c>
      <c r="AV235">
        <v>47</v>
      </c>
      <c r="AW235">
        <v>48</v>
      </c>
      <c r="AX235">
        <v>49</v>
      </c>
      <c r="AY235">
        <v>50</v>
      </c>
      <c r="AZ235">
        <v>51</v>
      </c>
      <c r="BA235">
        <v>52</v>
      </c>
      <c r="BB235">
        <v>53</v>
      </c>
      <c r="BC235">
        <v>54</v>
      </c>
      <c r="BD235">
        <v>55</v>
      </c>
      <c r="BE235">
        <v>56</v>
      </c>
    </row>
  </sheetData>
  <pageMargins left="0.7" right="0.7" top="0.78740157499999996" bottom="0.78740157499999996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11"/>
  <dimension ref="A1:J16"/>
  <sheetViews>
    <sheetView workbookViewId="0">
      <selection activeCell="D5" sqref="D5"/>
    </sheetView>
  </sheetViews>
  <sheetFormatPr defaultColWidth="9.109375" defaultRowHeight="13.8" x14ac:dyDescent="0.3"/>
  <cols>
    <col min="1" max="1" width="22.44140625" style="197" customWidth="1"/>
    <col min="2" max="2" width="11.5546875" style="197" customWidth="1"/>
    <col min="3" max="3" width="17.6640625" style="197" customWidth="1"/>
    <col min="4" max="4" width="10.6640625" style="197" customWidth="1"/>
    <col min="5" max="5" width="12.5546875" style="197" customWidth="1"/>
    <col min="6" max="6" width="10.6640625" style="197" customWidth="1"/>
    <col min="7" max="16384" width="9.109375" style="197"/>
  </cols>
  <sheetData>
    <row r="1" spans="1:10" x14ac:dyDescent="0.3">
      <c r="A1" s="198"/>
      <c r="B1" s="202" t="s">
        <v>1324</v>
      </c>
      <c r="C1" s="202" t="s">
        <v>1325</v>
      </c>
      <c r="D1" s="202" t="s">
        <v>1521</v>
      </c>
      <c r="E1" s="202" t="s">
        <v>1522</v>
      </c>
      <c r="F1" s="202" t="s">
        <v>1323</v>
      </c>
      <c r="G1" s="202" t="s">
        <v>1926</v>
      </c>
      <c r="H1" s="202" t="s">
        <v>1927</v>
      </c>
      <c r="I1" s="199" t="s">
        <v>2237</v>
      </c>
      <c r="J1" s="197" t="s">
        <v>2238</v>
      </c>
    </row>
    <row r="2" spans="1:10" x14ac:dyDescent="0.3">
      <c r="A2" s="619" t="s">
        <v>1322</v>
      </c>
      <c r="B2" s="619"/>
      <c r="C2" s="619"/>
      <c r="D2" s="619"/>
      <c r="E2" s="619"/>
      <c r="F2" s="619"/>
    </row>
    <row r="3" spans="1:10" x14ac:dyDescent="0.3">
      <c r="A3" s="198" t="s">
        <v>1326</v>
      </c>
      <c r="B3" s="200">
        <v>-30</v>
      </c>
      <c r="C3" s="200">
        <v>-6</v>
      </c>
      <c r="D3" s="200">
        <v>-29</v>
      </c>
      <c r="E3" s="200">
        <v>-29</v>
      </c>
      <c r="F3" s="200">
        <v>-32</v>
      </c>
      <c r="G3" s="200">
        <v>-29</v>
      </c>
      <c r="H3" s="200">
        <v>-29</v>
      </c>
      <c r="I3" s="197">
        <v>-29</v>
      </c>
      <c r="J3" s="200">
        <v>-29</v>
      </c>
    </row>
    <row r="4" spans="1:10" x14ac:dyDescent="0.3">
      <c r="A4" s="198" t="s">
        <v>1321</v>
      </c>
      <c r="B4" s="200">
        <v>-14</v>
      </c>
      <c r="C4" s="200">
        <v>10</v>
      </c>
      <c r="D4" s="200">
        <v>-13</v>
      </c>
      <c r="E4" s="201" t="s">
        <v>1320</v>
      </c>
      <c r="F4" s="200">
        <v>-15</v>
      </c>
      <c r="G4" s="200">
        <v>-13</v>
      </c>
      <c r="H4" s="201" t="s">
        <v>1320</v>
      </c>
      <c r="I4" s="197">
        <v>-13</v>
      </c>
      <c r="J4" s="201" t="s">
        <v>1320</v>
      </c>
    </row>
    <row r="5" spans="1:10" x14ac:dyDescent="0.3">
      <c r="A5" s="198" t="s">
        <v>1319</v>
      </c>
      <c r="B5" s="200" t="s">
        <v>1313</v>
      </c>
      <c r="C5" s="200" t="s">
        <v>1313</v>
      </c>
      <c r="D5" s="200">
        <v>-28</v>
      </c>
      <c r="E5" s="200" t="s">
        <v>1313</v>
      </c>
      <c r="F5" s="200">
        <v>-29</v>
      </c>
      <c r="G5" s="200">
        <v>-28</v>
      </c>
      <c r="H5" s="200" t="s">
        <v>1313</v>
      </c>
      <c r="I5" s="197">
        <v>-28</v>
      </c>
      <c r="J5" s="200" t="s">
        <v>1313</v>
      </c>
    </row>
    <row r="6" spans="1:10" x14ac:dyDescent="0.3">
      <c r="A6" s="198" t="s">
        <v>1318</v>
      </c>
      <c r="B6" s="200">
        <v>-13</v>
      </c>
      <c r="C6" s="200">
        <v>10</v>
      </c>
      <c r="D6" s="200">
        <v>-13</v>
      </c>
      <c r="E6" s="200">
        <v>-13</v>
      </c>
      <c r="F6" s="200">
        <v>-15</v>
      </c>
      <c r="G6" s="200">
        <v>-13</v>
      </c>
      <c r="H6" s="200">
        <v>-13</v>
      </c>
      <c r="I6" s="197">
        <v>-13</v>
      </c>
      <c r="J6" s="200">
        <v>-13</v>
      </c>
    </row>
    <row r="7" spans="1:10" x14ac:dyDescent="0.3">
      <c r="A7" s="620" t="s">
        <v>1328</v>
      </c>
      <c r="B7" s="620"/>
      <c r="C7" s="620"/>
      <c r="D7" s="620"/>
      <c r="E7" s="620"/>
      <c r="F7" s="620"/>
    </row>
    <row r="8" spans="1:10" x14ac:dyDescent="0.3">
      <c r="A8" s="198" t="s">
        <v>1317</v>
      </c>
      <c r="B8" s="200">
        <v>-9</v>
      </c>
      <c r="C8" s="200">
        <v>14</v>
      </c>
      <c r="D8" s="200">
        <v>-9</v>
      </c>
      <c r="E8" s="200">
        <v>-9</v>
      </c>
      <c r="F8" s="200">
        <v>-11</v>
      </c>
      <c r="G8" s="200">
        <v>-9</v>
      </c>
      <c r="H8" s="200">
        <v>-9</v>
      </c>
      <c r="I8" s="197">
        <v>-9</v>
      </c>
      <c r="J8" s="200">
        <v>-9</v>
      </c>
    </row>
    <row r="9" spans="1:10" x14ac:dyDescent="0.3">
      <c r="A9" s="198" t="s">
        <v>1316</v>
      </c>
      <c r="B9" s="200">
        <v>-12</v>
      </c>
      <c r="C9" s="200">
        <v>11</v>
      </c>
      <c r="D9" s="200">
        <v>-12</v>
      </c>
      <c r="E9" s="200">
        <v>-12</v>
      </c>
      <c r="F9" s="200">
        <v>-14</v>
      </c>
      <c r="G9" s="200">
        <v>-12</v>
      </c>
      <c r="H9" s="200">
        <v>-12</v>
      </c>
      <c r="I9" s="197">
        <v>-12</v>
      </c>
      <c r="J9" s="200">
        <v>-12</v>
      </c>
    </row>
    <row r="10" spans="1:10" x14ac:dyDescent="0.3">
      <c r="A10" s="619" t="s">
        <v>1315</v>
      </c>
      <c r="B10" s="619"/>
      <c r="C10" s="619"/>
      <c r="D10" s="619"/>
      <c r="E10" s="619"/>
      <c r="F10" s="619"/>
    </row>
    <row r="11" spans="1:10" x14ac:dyDescent="0.3">
      <c r="A11" s="198" t="s">
        <v>1327</v>
      </c>
      <c r="B11" s="200">
        <v>-26</v>
      </c>
      <c r="C11" s="200">
        <v>0</v>
      </c>
      <c r="D11" s="200" t="s">
        <v>1313</v>
      </c>
      <c r="E11" s="200">
        <v>-24</v>
      </c>
      <c r="F11" s="200" t="s">
        <v>1313</v>
      </c>
      <c r="G11" s="200" t="s">
        <v>1313</v>
      </c>
      <c r="H11" s="200">
        <v>-24</v>
      </c>
      <c r="I11" s="197" t="s">
        <v>1313</v>
      </c>
      <c r="J11" s="200">
        <v>-24</v>
      </c>
    </row>
    <row r="12" spans="1:10" x14ac:dyDescent="0.3">
      <c r="A12" s="198" t="s">
        <v>1314</v>
      </c>
      <c r="B12" s="200" t="s">
        <v>1313</v>
      </c>
      <c r="C12" s="200" t="s">
        <v>1313</v>
      </c>
      <c r="D12" s="200">
        <v>-24</v>
      </c>
      <c r="E12" s="200" t="s">
        <v>1313</v>
      </c>
      <c r="F12" s="200">
        <v>-25</v>
      </c>
      <c r="G12" s="200">
        <v>-24</v>
      </c>
      <c r="H12" s="200" t="s">
        <v>1313</v>
      </c>
      <c r="I12" s="197">
        <v>-24</v>
      </c>
      <c r="J12" s="200" t="s">
        <v>1313</v>
      </c>
    </row>
    <row r="13" spans="1:10" x14ac:dyDescent="0.3">
      <c r="A13" s="198" t="s">
        <v>1523</v>
      </c>
      <c r="B13" s="200" t="str">
        <f>IF(NAVIJENI=3,"0","-49")</f>
        <v>-49</v>
      </c>
      <c r="C13" s="200" t="str">
        <f>IF(NAVIJENI=2,"-54","-66")</f>
        <v>-66</v>
      </c>
      <c r="D13" s="200">
        <f>IF(NAVIJENI=2,-85,-65)</f>
        <v>-65</v>
      </c>
      <c r="E13" s="200">
        <f>IF(NAVIJENI=2,-81,-61)</f>
        <v>-61</v>
      </c>
      <c r="F13" s="200">
        <v>32</v>
      </c>
      <c r="G13" s="200">
        <v>-90</v>
      </c>
      <c r="H13" s="200">
        <v>-90</v>
      </c>
      <c r="I13" s="197">
        <v>-85</v>
      </c>
      <c r="J13" s="200">
        <v>-65</v>
      </c>
    </row>
    <row r="14" spans="1:10" x14ac:dyDescent="0.3">
      <c r="A14" s="198" t="s">
        <v>1524</v>
      </c>
      <c r="B14" s="200"/>
      <c r="C14" s="200"/>
      <c r="D14" s="200">
        <v>24</v>
      </c>
      <c r="E14" s="200">
        <v>0</v>
      </c>
      <c r="F14" s="200"/>
      <c r="G14" s="200">
        <v>28</v>
      </c>
      <c r="H14" s="200">
        <v>0</v>
      </c>
      <c r="I14" s="197">
        <v>28</v>
      </c>
      <c r="J14" s="200">
        <v>0</v>
      </c>
    </row>
    <row r="15" spans="1:10" x14ac:dyDescent="0.3">
      <c r="A15" s="198" t="s">
        <v>2005</v>
      </c>
      <c r="B15" s="200"/>
      <c r="C15" s="200">
        <v>14</v>
      </c>
      <c r="D15" s="200"/>
      <c r="E15" s="200"/>
      <c r="F15" s="200"/>
      <c r="G15" s="200"/>
      <c r="H15" s="200"/>
      <c r="J15" s="200"/>
    </row>
    <row r="16" spans="1:10" x14ac:dyDescent="0.3">
      <c r="A16" s="198" t="s">
        <v>2006</v>
      </c>
      <c r="B16" s="200"/>
      <c r="C16" s="200">
        <v>14</v>
      </c>
      <c r="D16" s="200"/>
      <c r="E16" s="200">
        <v>-9</v>
      </c>
      <c r="F16" s="200"/>
      <c r="G16" s="200"/>
      <c r="H16" s="200">
        <v>-9</v>
      </c>
      <c r="J16" s="200">
        <v>-9</v>
      </c>
    </row>
  </sheetData>
  <mergeCells count="3">
    <mergeCell ref="A10:F10"/>
    <mergeCell ref="A2:F2"/>
    <mergeCell ref="A7:F7"/>
  </mergeCells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List12">
    <tabColor rgb="FFFFFF00"/>
  </sheetPr>
  <dimension ref="A1:G177"/>
  <sheetViews>
    <sheetView zoomScale="85" zoomScaleNormal="85" workbookViewId="0">
      <pane xSplit="1" ySplit="1" topLeftCell="B83" activePane="bottomRight" state="frozen"/>
      <selection pane="topRight" activeCell="B1" sqref="B1"/>
      <selection pane="bottomLeft" activeCell="A2" sqref="A2"/>
      <selection pane="bottomRight" activeCell="A106" sqref="A106"/>
    </sheetView>
  </sheetViews>
  <sheetFormatPr defaultRowHeight="13.2" x14ac:dyDescent="0.25"/>
  <cols>
    <col min="1" max="1" width="39.109375" customWidth="1"/>
    <col min="2" max="2" width="83.88671875" customWidth="1"/>
    <col min="3" max="3" width="59.44140625" bestFit="1" customWidth="1"/>
    <col min="4" max="4" width="69.88671875" bestFit="1" customWidth="1"/>
    <col min="5" max="5" width="69" customWidth="1"/>
    <col min="7" max="7" width="20.5546875" bestFit="1" customWidth="1"/>
  </cols>
  <sheetData>
    <row r="1" spans="1:7" x14ac:dyDescent="0.25">
      <c r="A1" s="181">
        <f>výpočty!AE1</f>
        <v>3</v>
      </c>
      <c r="B1" s="181" t="s">
        <v>1178</v>
      </c>
      <c r="C1" s="181" t="s">
        <v>1179</v>
      </c>
      <c r="D1" s="181" t="s">
        <v>1180</v>
      </c>
      <c r="E1" s="181" t="s">
        <v>1181</v>
      </c>
    </row>
    <row r="2" spans="1:7" x14ac:dyDescent="0.25">
      <c r="A2" s="184" t="str">
        <f>IF($A$1=1,B:B,IF($A$1=2,C:C,IF($A$1=3,D:D,IF($A$1=4,E:E))))</f>
        <v>Zamawianie żaluzji</v>
      </c>
      <c r="B2" s="184" t="s">
        <v>1525</v>
      </c>
      <c r="C2" s="184" t="s">
        <v>1649</v>
      </c>
      <c r="D2" s="184" t="s">
        <v>1669</v>
      </c>
      <c r="E2" s="303" t="s">
        <v>1566</v>
      </c>
      <c r="F2" s="185"/>
    </row>
    <row r="3" spans="1:7" x14ac:dyDescent="0.25">
      <c r="A3" s="181" t="str">
        <f t="shared" ref="A3:A66" si="0">IF($A$1=1,B:B,IF($A$1=2,C:C,IF($A$1=3,D:D,IF($A$1=4,E:E))))</f>
        <v xml:space="preserve">Klient </v>
      </c>
      <c r="B3" s="181" t="s">
        <v>1196</v>
      </c>
      <c r="C3" s="181" t="s">
        <v>1196</v>
      </c>
      <c r="D3" s="181" t="s">
        <v>1197</v>
      </c>
      <c r="E3" s="181" t="s">
        <v>1567</v>
      </c>
    </row>
    <row r="4" spans="1:7" x14ac:dyDescent="0.25">
      <c r="A4" s="181" t="str">
        <f t="shared" si="0"/>
        <v>Nazwa</v>
      </c>
      <c r="B4" s="181" t="s">
        <v>618</v>
      </c>
      <c r="C4" s="181" t="s">
        <v>1820</v>
      </c>
      <c r="D4" s="181" t="s">
        <v>1198</v>
      </c>
      <c r="E4" s="181" t="s">
        <v>1568</v>
      </c>
    </row>
    <row r="5" spans="1:7" x14ac:dyDescent="0.25">
      <c r="A5" s="181" t="str">
        <f t="shared" si="0"/>
        <v>Ulica</v>
      </c>
      <c r="B5" s="181" t="s">
        <v>101</v>
      </c>
      <c r="C5" s="181" t="s">
        <v>1199</v>
      </c>
      <c r="D5" s="181" t="s">
        <v>1200</v>
      </c>
      <c r="E5" s="181" t="s">
        <v>1569</v>
      </c>
    </row>
    <row r="6" spans="1:7" x14ac:dyDescent="0.25">
      <c r="A6" s="181" t="str">
        <f t="shared" si="0"/>
        <v>Miasto</v>
      </c>
      <c r="B6" s="181" t="s">
        <v>102</v>
      </c>
      <c r="C6" s="181" t="s">
        <v>1201</v>
      </c>
      <c r="D6" s="181" t="s">
        <v>1202</v>
      </c>
      <c r="E6" s="181" t="s">
        <v>1570</v>
      </c>
    </row>
    <row r="7" spans="1:7" x14ac:dyDescent="0.25">
      <c r="A7" s="181" t="str">
        <f t="shared" si="0"/>
        <v>NIP</v>
      </c>
      <c r="B7" s="181" t="s">
        <v>103</v>
      </c>
      <c r="C7" s="181" t="s">
        <v>103</v>
      </c>
      <c r="D7" s="181" t="s">
        <v>1203</v>
      </c>
      <c r="E7" s="181" t="s">
        <v>1571</v>
      </c>
    </row>
    <row r="8" spans="1:7" x14ac:dyDescent="0.25">
      <c r="A8" s="181" t="str">
        <f t="shared" si="0"/>
        <v>Tel</v>
      </c>
      <c r="B8" s="181" t="s">
        <v>104</v>
      </c>
      <c r="C8" s="181" t="s">
        <v>1204</v>
      </c>
      <c r="D8" s="181" t="s">
        <v>1205</v>
      </c>
      <c r="E8" s="181" t="s">
        <v>104</v>
      </c>
    </row>
    <row r="9" spans="1:7" x14ac:dyDescent="0.25">
      <c r="A9" s="181" t="str">
        <f t="shared" si="0"/>
        <v>Uwagi</v>
      </c>
      <c r="B9" s="181" t="s">
        <v>1206</v>
      </c>
      <c r="C9" s="181" t="s">
        <v>1206</v>
      </c>
      <c r="D9" s="181" t="s">
        <v>1207</v>
      </c>
      <c r="E9" s="181" t="s">
        <v>1572</v>
      </c>
    </row>
    <row r="10" spans="1:7" x14ac:dyDescent="0.25">
      <c r="A10" s="181" t="str">
        <f t="shared" si="0"/>
        <v>Zniżka</v>
      </c>
      <c r="B10" s="181" t="s">
        <v>1302</v>
      </c>
      <c r="C10" s="181" t="s">
        <v>1208</v>
      </c>
      <c r="D10" s="181" t="s">
        <v>1209</v>
      </c>
      <c r="E10" s="181" t="s">
        <v>1573</v>
      </c>
    </row>
    <row r="11" spans="1:7" x14ac:dyDescent="0.25">
      <c r="A11" s="181" t="str">
        <f t="shared" si="0"/>
        <v xml:space="preserve">Ilość szt. </v>
      </c>
      <c r="B11" s="181" t="s">
        <v>1303</v>
      </c>
      <c r="C11" s="181" t="s">
        <v>1303</v>
      </c>
      <c r="D11" s="181" t="s">
        <v>1210</v>
      </c>
      <c r="E11" s="181" t="s">
        <v>1574</v>
      </c>
    </row>
    <row r="12" spans="1:7" x14ac:dyDescent="0.25">
      <c r="A12" s="181" t="str">
        <f t="shared" si="0"/>
        <v>Przygotować żaluzje na miarę?</v>
      </c>
      <c r="B12" s="181" t="s">
        <v>1701</v>
      </c>
      <c r="C12" s="181" t="s">
        <v>1698</v>
      </c>
      <c r="D12" s="181" t="s">
        <v>1699</v>
      </c>
      <c r="E12" s="181" t="s">
        <v>1700</v>
      </c>
    </row>
    <row r="13" spans="1:7" s="185" customFormat="1" x14ac:dyDescent="0.25">
      <c r="A13" s="184" t="str">
        <f t="shared" si="0"/>
        <v>Jeśli wybierzesz opcję "tak", żaluzja będzie przygotowana jako komplet, nacięta i przyszykowana do montażu (należy jeszcze poprawić niektóre tory)</v>
      </c>
      <c r="B13" s="184" t="s">
        <v>1540</v>
      </c>
      <c r="C13" s="184" t="s">
        <v>1650</v>
      </c>
      <c r="D13" s="184" t="s">
        <v>1670</v>
      </c>
      <c r="E13" s="185" t="s">
        <v>1575</v>
      </c>
      <c r="G13"/>
    </row>
    <row r="14" spans="1:7" x14ac:dyDescent="0.25">
      <c r="A14" s="181" t="str">
        <f t="shared" si="0"/>
        <v>System nawijania</v>
      </c>
      <c r="B14" s="181" t="s">
        <v>1304</v>
      </c>
      <c r="C14" s="181" t="s">
        <v>1305</v>
      </c>
      <c r="D14" s="181" t="s">
        <v>1863</v>
      </c>
      <c r="E14" s="181" t="s">
        <v>1576</v>
      </c>
    </row>
    <row r="15" spans="1:7" x14ac:dyDescent="0.25">
      <c r="A15" s="181" t="str">
        <f t="shared" si="0"/>
        <v>Rozmiar szafki</v>
      </c>
      <c r="B15" s="181" t="s">
        <v>1713</v>
      </c>
      <c r="C15" s="181" t="s">
        <v>1865</v>
      </c>
      <c r="D15" s="181" t="s">
        <v>1864</v>
      </c>
      <c r="E15" s="304" t="s">
        <v>1866</v>
      </c>
    </row>
    <row r="16" spans="1:7" x14ac:dyDescent="0.25">
      <c r="A16" s="181" t="str">
        <f t="shared" si="0"/>
        <v>wysokość (mm):</v>
      </c>
      <c r="B16" s="181" t="s">
        <v>1715</v>
      </c>
      <c r="C16" s="181" t="s">
        <v>1715</v>
      </c>
      <c r="D16" s="181" t="s">
        <v>1720</v>
      </c>
      <c r="E16" s="181" t="s">
        <v>1723</v>
      </c>
    </row>
    <row r="17" spans="1:5" x14ac:dyDescent="0.25">
      <c r="A17" s="181" t="str">
        <f t="shared" si="0"/>
        <v>szerokość (mm):</v>
      </c>
      <c r="B17" s="181" t="s">
        <v>1716</v>
      </c>
      <c r="C17" s="181" t="s">
        <v>1718</v>
      </c>
      <c r="D17" s="181" t="s">
        <v>1721</v>
      </c>
      <c r="E17" s="181" t="s">
        <v>1724</v>
      </c>
    </row>
    <row r="18" spans="1:5" x14ac:dyDescent="0.25">
      <c r="A18" s="181" t="str">
        <f t="shared" si="0"/>
        <v>głębokość (mm):</v>
      </c>
      <c r="B18" s="181" t="s">
        <v>1717</v>
      </c>
      <c r="C18" s="181" t="s">
        <v>1719</v>
      </c>
      <c r="D18" s="181" t="s">
        <v>1722</v>
      </c>
      <c r="E18" s="181" t="s">
        <v>1725</v>
      </c>
    </row>
    <row r="19" spans="1:5" x14ac:dyDescent="0.25">
      <c r="A19" s="181" t="str">
        <f t="shared" si="0"/>
        <v>Kierunek ruchu</v>
      </c>
      <c r="B19" s="181" t="s">
        <v>1211</v>
      </c>
      <c r="C19" s="181" t="s">
        <v>1212</v>
      </c>
      <c r="D19" s="181" t="s">
        <v>1213</v>
      </c>
      <c r="E19" s="181" t="s">
        <v>1577</v>
      </c>
    </row>
    <row r="20" spans="1:5" x14ac:dyDescent="0.25">
      <c r="A20" s="181" t="str">
        <f t="shared" si="0"/>
        <v>Typ systemu prowadzenia</v>
      </c>
      <c r="B20" s="181" t="s">
        <v>1214</v>
      </c>
      <c r="C20" s="181" t="s">
        <v>1215</v>
      </c>
      <c r="D20" s="181" t="s">
        <v>1216</v>
      </c>
      <c r="E20" s="181" t="s">
        <v>1578</v>
      </c>
    </row>
    <row r="21" spans="1:5" x14ac:dyDescent="0.25">
      <c r="A21" s="181" t="str">
        <f t="shared" si="0"/>
        <v>Kolor</v>
      </c>
      <c r="B21" s="181" t="s">
        <v>1217</v>
      </c>
      <c r="C21" s="181" t="s">
        <v>1218</v>
      </c>
      <c r="D21" s="181" t="s">
        <v>1219</v>
      </c>
      <c r="E21" s="181" t="s">
        <v>1579</v>
      </c>
    </row>
    <row r="22" spans="1:5" x14ac:dyDescent="0.25">
      <c r="A22" s="181" t="str">
        <f t="shared" si="0"/>
        <v>Kod</v>
      </c>
      <c r="B22" s="181" t="s">
        <v>1220</v>
      </c>
      <c r="C22" s="181" t="s">
        <v>1221</v>
      </c>
      <c r="D22" s="181" t="s">
        <v>1222</v>
      </c>
      <c r="E22" s="181" t="s">
        <v>1580</v>
      </c>
    </row>
    <row r="23" spans="1:5" x14ac:dyDescent="0.25">
      <c r="A23" s="181" t="str">
        <f t="shared" si="0"/>
        <v>Sortyment</v>
      </c>
      <c r="B23" s="181" t="s">
        <v>1223</v>
      </c>
      <c r="C23" s="181" t="s">
        <v>1223</v>
      </c>
      <c r="D23" s="181" t="s">
        <v>1224</v>
      </c>
      <c r="E23" s="181" t="s">
        <v>1581</v>
      </c>
    </row>
    <row r="24" spans="1:5" x14ac:dyDescent="0.25">
      <c r="A24" s="181" t="str">
        <f t="shared" si="0"/>
        <v xml:space="preserve">Ilość </v>
      </c>
      <c r="B24" s="181" t="s">
        <v>360</v>
      </c>
      <c r="C24" s="181" t="s">
        <v>1225</v>
      </c>
      <c r="D24" s="181" t="s">
        <v>1226</v>
      </c>
      <c r="E24" s="181" t="s">
        <v>1582</v>
      </c>
    </row>
    <row r="25" spans="1:5" x14ac:dyDescent="0.25">
      <c r="A25" s="181" t="str">
        <f t="shared" si="0"/>
        <v>Cena za sztukę</v>
      </c>
      <c r="B25" s="181" t="s">
        <v>361</v>
      </c>
      <c r="C25" s="181" t="s">
        <v>361</v>
      </c>
      <c r="D25" s="181" t="s">
        <v>1227</v>
      </c>
      <c r="E25" s="181" t="s">
        <v>1583</v>
      </c>
    </row>
    <row r="26" spans="1:5" x14ac:dyDescent="0.25">
      <c r="A26" s="181" t="str">
        <f t="shared" si="0"/>
        <v>Cena bez VAT</v>
      </c>
      <c r="B26" s="181" t="s">
        <v>1228</v>
      </c>
      <c r="C26" s="181" t="s">
        <v>1229</v>
      </c>
      <c r="D26" s="181" t="s">
        <v>1711</v>
      </c>
      <c r="E26" s="181" t="s">
        <v>1584</v>
      </c>
    </row>
    <row r="27" spans="1:5" x14ac:dyDescent="0.25">
      <c r="A27" s="181" t="str">
        <f t="shared" si="0"/>
        <v>Kod dostawy</v>
      </c>
      <c r="B27" s="181" t="s">
        <v>1190</v>
      </c>
      <c r="C27" s="181" t="s">
        <v>1651</v>
      </c>
      <c r="D27" s="181" t="s">
        <v>1671</v>
      </c>
      <c r="E27" s="181" t="s">
        <v>1585</v>
      </c>
    </row>
    <row r="28" spans="1:5" x14ac:dyDescent="0.25">
      <c r="A28" s="181" t="str">
        <f t="shared" si="0"/>
        <v>Profil rolety</v>
      </c>
      <c r="B28" s="181" t="s">
        <v>1306</v>
      </c>
      <c r="C28" s="181" t="s">
        <v>1306</v>
      </c>
      <c r="D28" s="181" t="s">
        <v>1672</v>
      </c>
      <c r="E28" s="181" t="s">
        <v>1586</v>
      </c>
    </row>
    <row r="29" spans="1:5" x14ac:dyDescent="0.25">
      <c r="A29" s="181" t="str">
        <f t="shared" si="0"/>
        <v xml:space="preserve">Listwa końcowa </v>
      </c>
      <c r="B29" s="181" t="s">
        <v>9</v>
      </c>
      <c r="C29" s="181" t="s">
        <v>9</v>
      </c>
      <c r="D29" s="181" t="s">
        <v>1231</v>
      </c>
      <c r="E29" s="181" t="s">
        <v>1587</v>
      </c>
    </row>
    <row r="30" spans="1:5" x14ac:dyDescent="0.25">
      <c r="A30" s="181" t="str">
        <f t="shared" si="0"/>
        <v>Listwa maskująca</v>
      </c>
      <c r="B30" s="181" t="s">
        <v>8</v>
      </c>
      <c r="C30" s="181" t="s">
        <v>1232</v>
      </c>
      <c r="D30" s="181" t="s">
        <v>1233</v>
      </c>
      <c r="E30" s="181" t="s">
        <v>1588</v>
      </c>
    </row>
    <row r="31" spans="1:5" x14ac:dyDescent="0.25">
      <c r="A31" s="181" t="str">
        <f t="shared" si="0"/>
        <v>Listwa torowa</v>
      </c>
      <c r="B31" s="181" t="s">
        <v>374</v>
      </c>
      <c r="C31" s="181" t="s">
        <v>1234</v>
      </c>
      <c r="D31" s="181" t="s">
        <v>1235</v>
      </c>
      <c r="E31" s="181" t="s">
        <v>1589</v>
      </c>
    </row>
    <row r="32" spans="1:5" x14ac:dyDescent="0.25">
      <c r="A32" s="181" t="str">
        <f t="shared" si="0"/>
        <v>Opłata za przygotowanie kompletu na miarę</v>
      </c>
      <c r="B32" s="181" t="s">
        <v>1307</v>
      </c>
      <c r="C32" s="181" t="s">
        <v>1652</v>
      </c>
      <c r="D32" s="181" t="s">
        <v>1673</v>
      </c>
      <c r="E32" s="181" t="s">
        <v>1590</v>
      </c>
    </row>
    <row r="33" spans="1:7" x14ac:dyDescent="0.25">
      <c r="A33" s="181" t="str">
        <f t="shared" si="0"/>
        <v xml:space="preserve">W sumie </v>
      </c>
      <c r="B33" s="181" t="s">
        <v>1228</v>
      </c>
      <c r="C33" s="181" t="s">
        <v>1236</v>
      </c>
      <c r="D33" s="181" t="s">
        <v>1237</v>
      </c>
      <c r="E33" s="181" t="s">
        <v>1591</v>
      </c>
    </row>
    <row r="34" spans="1:7" x14ac:dyDescent="0.25">
      <c r="A34" s="181" t="str">
        <f t="shared" si="0"/>
        <v xml:space="preserve">Dekor - buk, czereśnia, brzoza, klon, chrom, czereśnia havana, calavados, transparent. </v>
      </c>
      <c r="B34" s="181" t="s">
        <v>1534</v>
      </c>
      <c r="C34" s="181" t="s">
        <v>1238</v>
      </c>
      <c r="D34" s="181" t="s">
        <v>1239</v>
      </c>
      <c r="E34" s="181" t="s">
        <v>1592</v>
      </c>
    </row>
    <row r="35" spans="1:7" x14ac:dyDescent="0.25">
      <c r="A35" s="181" t="str">
        <f t="shared" si="0"/>
        <v>Typ systemu prowadzenia</v>
      </c>
      <c r="B35" s="181" t="s">
        <v>1214</v>
      </c>
      <c r="C35" s="181" t="s">
        <v>1215</v>
      </c>
      <c r="D35" s="181" t="s">
        <v>1216</v>
      </c>
      <c r="E35" s="181" t="s">
        <v>1593</v>
      </c>
    </row>
    <row r="36" spans="1:7" s="327" customFormat="1" x14ac:dyDescent="0.25">
      <c r="A36" s="325" t="str">
        <f t="shared" si="0"/>
        <v>TOP Basic - wpuszczany do przykręcenia plastikowy</v>
      </c>
      <c r="B36" s="351" t="s">
        <v>1991</v>
      </c>
      <c r="C36" t="s">
        <v>2220</v>
      </c>
      <c r="D36" s="325" t="s">
        <v>2239</v>
      </c>
      <c r="E36" s="326" t="s">
        <v>2240</v>
      </c>
      <c r="G36"/>
    </row>
    <row r="37" spans="1:7" s="327" customFormat="1" x14ac:dyDescent="0.25">
      <c r="A37" s="325" t="str">
        <f t="shared" si="0"/>
        <v>Classic - wpuszczany do zafrezowania</v>
      </c>
      <c r="B37" s="351" t="s">
        <v>1992</v>
      </c>
      <c r="C37" t="s">
        <v>2221</v>
      </c>
      <c r="D37" s="325" t="s">
        <v>2241</v>
      </c>
      <c r="E37" s="326" t="s">
        <v>2242</v>
      </c>
      <c r="G37"/>
    </row>
    <row r="38" spans="1:7" s="327" customFormat="1" x14ac:dyDescent="0.25">
      <c r="A38" s="325" t="str">
        <f t="shared" si="0"/>
        <v>Nakładany z prowadzeniem metalic-line 29 mm i mechanimem C3</v>
      </c>
      <c r="B38" s="351" t="s">
        <v>1988</v>
      </c>
      <c r="C38" t="s">
        <v>1988</v>
      </c>
      <c r="D38" s="325" t="s">
        <v>2243</v>
      </c>
      <c r="E38" s="326" t="s">
        <v>2244</v>
      </c>
      <c r="G38"/>
    </row>
    <row r="39" spans="1:7" x14ac:dyDescent="0.25">
      <c r="A39" s="181" t="str">
        <f t="shared" si="0"/>
        <v>aluminium</v>
      </c>
      <c r="B39" s="181" t="s">
        <v>98</v>
      </c>
      <c r="C39" s="181" t="s">
        <v>98</v>
      </c>
      <c r="D39" s="181" t="s">
        <v>1240</v>
      </c>
      <c r="E39" s="181" t="s">
        <v>1594</v>
      </c>
    </row>
    <row r="40" spans="1:7" x14ac:dyDescent="0.25">
      <c r="A40" s="181" t="str">
        <f t="shared" si="0"/>
        <v>stal nierdzewna</v>
      </c>
      <c r="B40" s="181" t="s">
        <v>99</v>
      </c>
      <c r="C40" s="181" t="s">
        <v>99</v>
      </c>
      <c r="D40" s="181" t="s">
        <v>1241</v>
      </c>
      <c r="E40" s="181" t="s">
        <v>1595</v>
      </c>
    </row>
    <row r="41" spans="1:7" x14ac:dyDescent="0.25">
      <c r="A41" s="181" t="str">
        <f t="shared" si="0"/>
        <v>Komponenty</v>
      </c>
      <c r="B41" s="181" t="s">
        <v>1242</v>
      </c>
      <c r="C41" s="181" t="s">
        <v>1243</v>
      </c>
      <c r="D41" s="181" t="s">
        <v>1242</v>
      </c>
      <c r="E41" s="181" t="s">
        <v>1596</v>
      </c>
    </row>
    <row r="42" spans="1:7" x14ac:dyDescent="0.25">
      <c r="A42" s="181" t="str">
        <f t="shared" si="0"/>
        <v>Roleta</v>
      </c>
      <c r="B42" s="181" t="s">
        <v>7</v>
      </c>
      <c r="C42" s="181" t="s">
        <v>1244</v>
      </c>
      <c r="D42" s="181" t="s">
        <v>1230</v>
      </c>
      <c r="E42" s="181" t="s">
        <v>1597</v>
      </c>
    </row>
    <row r="43" spans="1:7" x14ac:dyDescent="0.25">
      <c r="A43" s="181" t="str">
        <f t="shared" si="0"/>
        <v>Listwa końcowa + ślizgacze</v>
      </c>
      <c r="B43" s="181" t="s">
        <v>81</v>
      </c>
      <c r="C43" s="181" t="s">
        <v>1245</v>
      </c>
      <c r="D43" s="181" t="s">
        <v>1246</v>
      </c>
      <c r="E43" s="181" t="s">
        <v>1598</v>
      </c>
    </row>
    <row r="44" spans="1:7" x14ac:dyDescent="0.25">
      <c r="A44" s="181" t="str">
        <f t="shared" si="0"/>
        <v xml:space="preserve">Listwa torowa + rogi </v>
      </c>
      <c r="B44" s="181" t="s">
        <v>82</v>
      </c>
      <c r="C44" s="181" t="s">
        <v>1247</v>
      </c>
      <c r="D44" s="181" t="s">
        <v>1248</v>
      </c>
      <c r="E44" s="181" t="s">
        <v>1599</v>
      </c>
    </row>
    <row r="45" spans="1:7" x14ac:dyDescent="0.25">
      <c r="A45" s="181" t="str">
        <f t="shared" si="0"/>
        <v xml:space="preserve">Mechanizm roletowy C3 </v>
      </c>
      <c r="B45" s="181" t="s">
        <v>1249</v>
      </c>
      <c r="C45" s="181" t="s">
        <v>1250</v>
      </c>
      <c r="D45" s="181" t="s">
        <v>1674</v>
      </c>
      <c r="E45" s="181" t="s">
        <v>1600</v>
      </c>
    </row>
    <row r="46" spans="1:7" x14ac:dyDescent="0.25">
      <c r="A46" s="181" t="str">
        <f t="shared" si="0"/>
        <v>Kolory pastelowe - biały, czarny, szary</v>
      </c>
      <c r="B46" s="181" t="s">
        <v>11</v>
      </c>
      <c r="C46" s="181" t="s">
        <v>1251</v>
      </c>
      <c r="D46" s="181" t="s">
        <v>1252</v>
      </c>
      <c r="E46" s="181" t="s">
        <v>1601</v>
      </c>
    </row>
    <row r="47" spans="1:7" x14ac:dyDescent="0.25">
      <c r="A47" s="181" t="str">
        <f t="shared" si="0"/>
        <v>Metallicline - aluminium, stal nierdzewna</v>
      </c>
      <c r="B47" s="181" t="s">
        <v>1253</v>
      </c>
      <c r="C47" s="181" t="s">
        <v>1253</v>
      </c>
      <c r="D47" s="181" t="s">
        <v>1254</v>
      </c>
      <c r="E47" s="181" t="s">
        <v>1602</v>
      </c>
    </row>
    <row r="48" spans="1:7" x14ac:dyDescent="0.25">
      <c r="A48" s="181" t="str">
        <f t="shared" si="0"/>
        <v xml:space="preserve">Metallic line - set </v>
      </c>
      <c r="B48" s="181" t="s">
        <v>1255</v>
      </c>
      <c r="C48" s="181" t="s">
        <v>1255</v>
      </c>
      <c r="D48" s="181" t="s">
        <v>1255</v>
      </c>
      <c r="E48" s="181" t="s">
        <v>1603</v>
      </c>
    </row>
    <row r="49" spans="1:5" x14ac:dyDescent="0.25">
      <c r="A49" s="181" t="str">
        <f t="shared" si="0"/>
        <v xml:space="preserve">do tego wariantu można zastosować następujący SET: </v>
      </c>
      <c r="B49" s="181" t="s">
        <v>1256</v>
      </c>
      <c r="C49" s="181" t="s">
        <v>1257</v>
      </c>
      <c r="D49" s="181" t="s">
        <v>1258</v>
      </c>
      <c r="E49" s="181" t="s">
        <v>1604</v>
      </c>
    </row>
    <row r="50" spans="1:5" x14ac:dyDescent="0.25">
      <c r="A50" s="181" t="str">
        <f t="shared" si="0"/>
        <v>Mechanizmy roletowe</v>
      </c>
      <c r="B50" s="181" t="s">
        <v>117</v>
      </c>
      <c r="C50" s="181" t="s">
        <v>1259</v>
      </c>
      <c r="D50" s="181" t="s">
        <v>1675</v>
      </c>
      <c r="E50" s="181" t="s">
        <v>1605</v>
      </c>
    </row>
    <row r="51" spans="1:5" x14ac:dyDescent="0.25">
      <c r="A51" s="181" t="str">
        <f t="shared" si="0"/>
        <v xml:space="preserve">Oznaczenie </v>
      </c>
      <c r="B51" s="181" t="s">
        <v>120</v>
      </c>
      <c r="C51" s="181" t="s">
        <v>1260</v>
      </c>
      <c r="D51" s="181" t="s">
        <v>1261</v>
      </c>
      <c r="E51" s="181" t="s">
        <v>1606</v>
      </c>
    </row>
    <row r="52" spans="1:5" x14ac:dyDescent="0.25">
      <c r="A52" s="181" t="str">
        <f t="shared" si="0"/>
        <v>Rozmiar</v>
      </c>
      <c r="B52" s="181" t="s">
        <v>21</v>
      </c>
      <c r="C52" s="181" t="s">
        <v>1262</v>
      </c>
      <c r="D52" s="181" t="s">
        <v>1263</v>
      </c>
      <c r="E52" s="181" t="s">
        <v>1607</v>
      </c>
    </row>
    <row r="53" spans="1:5" x14ac:dyDescent="0.25">
      <c r="A53" s="181" t="str">
        <f t="shared" si="0"/>
        <v xml:space="preserve">Cena </v>
      </c>
      <c r="B53" s="181" t="s">
        <v>121</v>
      </c>
      <c r="C53" s="181" t="s">
        <v>121</v>
      </c>
      <c r="D53" s="181" t="s">
        <v>1264</v>
      </c>
      <c r="E53" s="181" t="s">
        <v>1608</v>
      </c>
    </row>
    <row r="54" spans="1:5" x14ac:dyDescent="0.25">
      <c r="A54" s="181" t="str">
        <f t="shared" si="0"/>
        <v>Nakładany system z C3</v>
      </c>
      <c r="B54" s="181" t="s">
        <v>1265</v>
      </c>
      <c r="C54" s="181" t="s">
        <v>1265</v>
      </c>
      <c r="D54" s="181" t="s">
        <v>1266</v>
      </c>
      <c r="E54" s="181" t="s">
        <v>1609</v>
      </c>
    </row>
    <row r="55" spans="1:5" x14ac:dyDescent="0.25">
      <c r="A55" s="181" t="str">
        <f t="shared" si="0"/>
        <v>Do tyłu</v>
      </c>
      <c r="B55" s="181" t="s">
        <v>1267</v>
      </c>
      <c r="C55" s="181" t="s">
        <v>1267</v>
      </c>
      <c r="D55" s="181" t="s">
        <v>1268</v>
      </c>
      <c r="E55" s="181" t="s">
        <v>1610</v>
      </c>
    </row>
    <row r="56" spans="1:5" x14ac:dyDescent="0.25">
      <c r="A56" s="181" t="str">
        <f t="shared" si="0"/>
        <v>Do ślimaka roletowego</v>
      </c>
      <c r="B56" s="181" t="s">
        <v>1269</v>
      </c>
      <c r="C56" s="181" t="s">
        <v>1270</v>
      </c>
      <c r="D56" s="181" t="s">
        <v>1271</v>
      </c>
      <c r="E56" s="181" t="s">
        <v>1611</v>
      </c>
    </row>
    <row r="57" spans="1:5" x14ac:dyDescent="0.25">
      <c r="A57" s="181" t="str">
        <f t="shared" si="0"/>
        <v>Z mecjanizmem C3</v>
      </c>
      <c r="B57" s="181" t="s">
        <v>1272</v>
      </c>
      <c r="C57" s="181" t="s">
        <v>1272</v>
      </c>
      <c r="D57" s="181" t="s">
        <v>1273</v>
      </c>
      <c r="E57" s="181" t="s">
        <v>1612</v>
      </c>
    </row>
    <row r="58" spans="1:5" x14ac:dyDescent="0.25">
      <c r="A58" s="181" t="str">
        <f t="shared" si="0"/>
        <v>Pionowy (z góry na dół)</v>
      </c>
      <c r="B58" s="181" t="s">
        <v>1526</v>
      </c>
      <c r="C58" s="181" t="s">
        <v>1653</v>
      </c>
      <c r="D58" s="181" t="s">
        <v>1676</v>
      </c>
      <c r="E58" s="181" t="s">
        <v>1613</v>
      </c>
    </row>
    <row r="59" spans="1:5" x14ac:dyDescent="0.25">
      <c r="A59" s="181" t="str">
        <f t="shared" si="0"/>
        <v>Poziomy (z lewej strony na prawą)</v>
      </c>
      <c r="B59" s="181" t="s">
        <v>1539</v>
      </c>
      <c r="C59" s="181" t="s">
        <v>1654</v>
      </c>
      <c r="D59" s="181" t="s">
        <v>1677</v>
      </c>
      <c r="E59" s="181" t="s">
        <v>1614</v>
      </c>
    </row>
    <row r="60" spans="1:5" x14ac:dyDescent="0.25">
      <c r="A60" s="181" t="str">
        <f t="shared" si="0"/>
        <v>Czarny (E23)</v>
      </c>
      <c r="B60" s="181" t="s">
        <v>1993</v>
      </c>
      <c r="C60" s="181" t="s">
        <v>2176</v>
      </c>
      <c r="D60" s="181" t="s">
        <v>2181</v>
      </c>
      <c r="E60" s="183" t="s">
        <v>2189</v>
      </c>
    </row>
    <row r="61" spans="1:5" x14ac:dyDescent="0.25">
      <c r="A61" s="181" t="str">
        <f t="shared" si="0"/>
        <v>Biały (E23)</v>
      </c>
      <c r="B61" s="181" t="s">
        <v>1994</v>
      </c>
      <c r="C61" s="181" t="s">
        <v>2177</v>
      </c>
      <c r="D61" s="181" t="s">
        <v>2182</v>
      </c>
      <c r="E61" s="183" t="s">
        <v>2190</v>
      </c>
    </row>
    <row r="62" spans="1:5" x14ac:dyDescent="0.25">
      <c r="A62" s="181" t="str">
        <f t="shared" si="0"/>
        <v>Szary (E23)</v>
      </c>
      <c r="B62" s="181" t="s">
        <v>1995</v>
      </c>
      <c r="C62" s="181" t="s">
        <v>1995</v>
      </c>
      <c r="D62" s="181" t="s">
        <v>2183</v>
      </c>
      <c r="E62" s="183" t="s">
        <v>2191</v>
      </c>
    </row>
    <row r="63" spans="1:5" x14ac:dyDescent="0.25">
      <c r="A63" s="181" t="str">
        <f t="shared" si="0"/>
        <v>Aluminowa plastik (E23)</v>
      </c>
      <c r="B63" s="181" t="s">
        <v>1996</v>
      </c>
      <c r="C63" s="183" t="s">
        <v>1996</v>
      </c>
      <c r="D63" s="181" t="s">
        <v>2184</v>
      </c>
      <c r="E63" s="183" t="s">
        <v>2192</v>
      </c>
    </row>
    <row r="64" spans="1:5" x14ac:dyDescent="0.25">
      <c r="A64" s="181" t="str">
        <f t="shared" si="0"/>
        <v>Buk (E23)</v>
      </c>
      <c r="B64" s="181" t="s">
        <v>1997</v>
      </c>
      <c r="C64" s="181" t="s">
        <v>1997</v>
      </c>
      <c r="D64" s="181" t="s">
        <v>1997</v>
      </c>
      <c r="E64" s="183" t="s">
        <v>2193</v>
      </c>
    </row>
    <row r="65" spans="1:5" x14ac:dyDescent="0.25">
      <c r="A65" s="181" t="str">
        <f t="shared" si="0"/>
        <v>Czereśnia (E23)</v>
      </c>
      <c r="B65" s="181" t="s">
        <v>1998</v>
      </c>
      <c r="C65" s="181" t="s">
        <v>2178</v>
      </c>
      <c r="D65" s="181" t="s">
        <v>2185</v>
      </c>
      <c r="E65" s="183" t="s">
        <v>2194</v>
      </c>
    </row>
    <row r="66" spans="1:5" x14ac:dyDescent="0.25">
      <c r="A66" s="181" t="str">
        <f t="shared" si="0"/>
        <v>Klon (E23)</v>
      </c>
      <c r="B66" s="181" t="s">
        <v>1999</v>
      </c>
      <c r="C66" s="181" t="s">
        <v>1999</v>
      </c>
      <c r="D66" s="181" t="s">
        <v>2186</v>
      </c>
      <c r="E66" s="183" t="s">
        <v>2195</v>
      </c>
    </row>
    <row r="67" spans="1:5" x14ac:dyDescent="0.25">
      <c r="A67" s="181" t="str">
        <f t="shared" ref="A67:A130" si="1">IF($A$1=1,B:B,IF($A$1=2,C:C,IF($A$1=3,D:D,IF($A$1=4,E:E))))</f>
        <v>Brzoza (E23)</v>
      </c>
      <c r="B67" s="181" t="s">
        <v>2000</v>
      </c>
      <c r="C67" s="181" t="s">
        <v>2179</v>
      </c>
      <c r="D67" s="181" t="s">
        <v>2187</v>
      </c>
      <c r="E67" s="183" t="s">
        <v>2196</v>
      </c>
    </row>
    <row r="68" spans="1:5" x14ac:dyDescent="0.25">
      <c r="A68" s="181" t="str">
        <f t="shared" si="1"/>
        <v>Czereśnia havana (E23)</v>
      </c>
      <c r="B68" s="181" t="s">
        <v>2001</v>
      </c>
      <c r="C68" s="181" t="s">
        <v>2180</v>
      </c>
      <c r="D68" s="181" t="s">
        <v>2188</v>
      </c>
      <c r="E68" s="183" t="s">
        <v>2197</v>
      </c>
    </row>
    <row r="69" spans="1:5" x14ac:dyDescent="0.25">
      <c r="A69" s="181" t="str">
        <f t="shared" si="1"/>
        <v>Calvados (E23)</v>
      </c>
      <c r="B69" s="181" t="s">
        <v>2002</v>
      </c>
      <c r="C69" s="181" t="s">
        <v>2002</v>
      </c>
      <c r="D69" s="181" t="s">
        <v>2002</v>
      </c>
      <c r="E69" s="183" t="s">
        <v>2002</v>
      </c>
    </row>
    <row r="70" spans="1:5" x14ac:dyDescent="0.25">
      <c r="A70" s="181" t="str">
        <f t="shared" si="1"/>
        <v>Transparentny</v>
      </c>
      <c r="B70" s="183" t="s">
        <v>1274</v>
      </c>
      <c r="C70" s="181" t="s">
        <v>1275</v>
      </c>
      <c r="D70" s="181" t="s">
        <v>1276</v>
      </c>
      <c r="E70" s="183" t="s">
        <v>1615</v>
      </c>
    </row>
    <row r="71" spans="1:5" x14ac:dyDescent="0.25">
      <c r="A71" s="181" t="str">
        <f t="shared" si="1"/>
        <v>Aluminium szerokość 20 mm (metallic-line)</v>
      </c>
      <c r="B71" s="183" t="s">
        <v>1771</v>
      </c>
      <c r="C71" s="183" t="s">
        <v>1773</v>
      </c>
      <c r="D71" s="181" t="s">
        <v>1775</v>
      </c>
      <c r="E71" s="183" t="s">
        <v>1779</v>
      </c>
    </row>
    <row r="72" spans="1:5" x14ac:dyDescent="0.25">
      <c r="A72" s="181" t="str">
        <f t="shared" si="1"/>
        <v>Nierdz. szerokość 20 mm (metallic-line)</v>
      </c>
      <c r="B72" s="183" t="s">
        <v>1772</v>
      </c>
      <c r="C72" s="183" t="s">
        <v>1778</v>
      </c>
      <c r="D72" s="181" t="s">
        <v>1777</v>
      </c>
      <c r="E72" s="183" t="s">
        <v>1780</v>
      </c>
    </row>
    <row r="73" spans="1:5" x14ac:dyDescent="0.25">
      <c r="A73" s="181" t="str">
        <f t="shared" si="1"/>
        <v>Bez ograniczeń</v>
      </c>
      <c r="B73" s="181" t="s">
        <v>119</v>
      </c>
      <c r="C73" s="181" t="s">
        <v>1277</v>
      </c>
      <c r="D73" s="181" t="s">
        <v>1278</v>
      </c>
      <c r="E73" s="181" t="s">
        <v>1616</v>
      </c>
    </row>
    <row r="74" spans="1:5" x14ac:dyDescent="0.25">
      <c r="A74" s="181" t="str">
        <f t="shared" si="1"/>
        <v>nie można zastosować z mechanizmem wyważającym C3</v>
      </c>
      <c r="B74" s="181" t="s">
        <v>1279</v>
      </c>
      <c r="C74" s="181" t="s">
        <v>1280</v>
      </c>
      <c r="D74" s="181" t="s">
        <v>1281</v>
      </c>
      <c r="E74" s="181" t="s">
        <v>1617</v>
      </c>
    </row>
    <row r="75" spans="1:5" x14ac:dyDescent="0.25">
      <c r="A75" s="181" t="str">
        <f t="shared" si="1"/>
        <v>nie odpowiada żadny C BOX</v>
      </c>
      <c r="B75" s="181" t="s">
        <v>1282</v>
      </c>
      <c r="C75" s="181" t="s">
        <v>1283</v>
      </c>
      <c r="D75" s="181" t="s">
        <v>1284</v>
      </c>
      <c r="E75" s="181" t="s">
        <v>1618</v>
      </c>
    </row>
    <row r="76" spans="1:5" x14ac:dyDescent="0.25">
      <c r="A76" s="181" t="str">
        <f t="shared" si="1"/>
        <v>nie odpowiada żadny SET</v>
      </c>
      <c r="B76" s="181" t="s">
        <v>1285</v>
      </c>
      <c r="C76" s="181" t="s">
        <v>1286</v>
      </c>
      <c r="D76" s="181" t="s">
        <v>1287</v>
      </c>
      <c r="E76" s="181" t="s">
        <v>1619</v>
      </c>
    </row>
    <row r="77" spans="1:5" x14ac:dyDescent="0.25">
      <c r="A77" s="181" t="str">
        <f t="shared" si="1"/>
        <v>o rozmiarach szerokość - 500, wysokość - 600-1000</v>
      </c>
      <c r="B77" s="181" t="s">
        <v>346</v>
      </c>
      <c r="C77" s="181" t="s">
        <v>1288</v>
      </c>
      <c r="D77" s="181" t="s">
        <v>1289</v>
      </c>
      <c r="E77" s="181" t="s">
        <v>1620</v>
      </c>
    </row>
    <row r="78" spans="1:5" x14ac:dyDescent="0.25">
      <c r="A78" s="181" t="str">
        <f t="shared" si="1"/>
        <v>o rozmiarach szerokość - 500, wysokość -1000-1500</v>
      </c>
      <c r="B78" s="181" t="s">
        <v>352</v>
      </c>
      <c r="C78" s="181" t="s">
        <v>1290</v>
      </c>
      <c r="D78" s="181" t="s">
        <v>1291</v>
      </c>
      <c r="E78" s="181" t="s">
        <v>1621</v>
      </c>
    </row>
    <row r="79" spans="1:5" x14ac:dyDescent="0.25">
      <c r="A79" s="181" t="str">
        <f t="shared" si="1"/>
        <v>o rozmiarach szerokość - 600, wysokość - 600-1000</v>
      </c>
      <c r="B79" s="181" t="s">
        <v>353</v>
      </c>
      <c r="C79" s="181" t="s">
        <v>1292</v>
      </c>
      <c r="D79" s="181" t="s">
        <v>1293</v>
      </c>
      <c r="E79" s="181" t="s">
        <v>1622</v>
      </c>
    </row>
    <row r="80" spans="1:5" x14ac:dyDescent="0.25">
      <c r="A80" s="181" t="str">
        <f t="shared" si="1"/>
        <v>o rozmiarach szerokość - 600, wysokość - 1000-1500</v>
      </c>
      <c r="B80" s="181" t="s">
        <v>354</v>
      </c>
      <c r="C80" s="181" t="s">
        <v>1294</v>
      </c>
      <c r="D80" s="181" t="s">
        <v>1295</v>
      </c>
      <c r="E80" s="181" t="s">
        <v>1623</v>
      </c>
    </row>
    <row r="81" spans="1:7" x14ac:dyDescent="0.25">
      <c r="A81" s="181" t="str">
        <f t="shared" si="1"/>
        <v>o rozmiarach szerokość - 900, wysokość - 600-1000</v>
      </c>
      <c r="B81" s="181" t="s">
        <v>355</v>
      </c>
      <c r="C81" s="181" t="s">
        <v>1296</v>
      </c>
      <c r="D81" s="181" t="s">
        <v>1297</v>
      </c>
      <c r="E81" s="181" t="s">
        <v>1624</v>
      </c>
    </row>
    <row r="82" spans="1:7" x14ac:dyDescent="0.25">
      <c r="A82" s="181" t="str">
        <f t="shared" si="1"/>
        <v>o rozmiarach szerokość - 900, wysokość - 1000-1500</v>
      </c>
      <c r="B82" s="181" t="s">
        <v>356</v>
      </c>
      <c r="C82" s="181" t="s">
        <v>1298</v>
      </c>
      <c r="D82" s="181" t="s">
        <v>1299</v>
      </c>
      <c r="E82" s="181" t="s">
        <v>1625</v>
      </c>
    </row>
    <row r="83" spans="1:7" x14ac:dyDescent="0.25">
      <c r="A83" s="181" t="str">
        <f t="shared" si="1"/>
        <v>Podane ceny nie zawierają podatku VAT i ważne są od 06.01.2025</v>
      </c>
      <c r="B83" s="181" t="str">
        <f>CONCATENATE("Uvedené ceny jsou bez DPH, s platností k ",F106)</f>
        <v>Uvedené ceny jsou bez DPH, s platností k 06.01.2025</v>
      </c>
      <c r="C83" s="181" t="str">
        <f>CONCATENATE("Uvedené ceny sú bez DPH, s platnosťou od ",F106)</f>
        <v>Uvedené ceny sú bez DPH, s platnosťou od 06.01.2025</v>
      </c>
      <c r="D83" s="181" t="str">
        <f>CONCATENATE("Podane ceny nie zawierają podatku VAT i ważne są od ",F106)</f>
        <v>Podane ceny nie zawierają podatku VAT i ważne są od 06.01.2025</v>
      </c>
      <c r="E83" s="181" t="str">
        <f>CONCATENATE("Az árak ÁFa nélül vannak megadva, hatályban ",F106,"-től")</f>
        <v>Az árak ÁFa nélül vannak megadva, hatályban 06.01.2025-től</v>
      </c>
    </row>
    <row r="84" spans="1:7" x14ac:dyDescent="0.25">
      <c r="A84" s="181" t="str">
        <f t="shared" si="1"/>
        <v>nie można</v>
      </c>
      <c r="B84" s="181" t="s">
        <v>439</v>
      </c>
      <c r="C84" s="181" t="s">
        <v>1300</v>
      </c>
      <c r="D84" s="181" t="s">
        <v>1301</v>
      </c>
      <c r="E84" s="181" t="s">
        <v>1626</v>
      </c>
    </row>
    <row r="85" spans="1:7" s="327" customFormat="1" x14ac:dyDescent="0.25">
      <c r="A85" s="325" t="str">
        <f t="shared" si="1"/>
        <v>Frame - nakładany z listwą maskującą</v>
      </c>
      <c r="B85" s="351" t="s">
        <v>1989</v>
      </c>
      <c r="C85" t="s">
        <v>2222</v>
      </c>
      <c r="D85" s="325" t="s">
        <v>2245</v>
      </c>
      <c r="E85" s="326" t="s">
        <v>2246</v>
      </c>
      <c r="G85"/>
    </row>
    <row r="86" spans="1:7" s="327" customFormat="1" x14ac:dyDescent="0.25">
      <c r="A86" s="325" t="str">
        <f t="shared" si="1"/>
        <v>TOP - wpuszczany do przykręcenia metalowy z listwą maskującą</v>
      </c>
      <c r="B86" s="351" t="s">
        <v>1990</v>
      </c>
      <c r="C86" t="s">
        <v>2223</v>
      </c>
      <c r="D86" s="325" t="s">
        <v>2247</v>
      </c>
      <c r="E86" s="326" t="s">
        <v>2248</v>
      </c>
      <c r="G86"/>
    </row>
    <row r="87" spans="1:7" x14ac:dyDescent="0.25">
      <c r="A87" s="181" t="str">
        <f t="shared" si="1"/>
        <v>Tak</v>
      </c>
      <c r="B87" s="181" t="s">
        <v>1193</v>
      </c>
      <c r="C87" s="181" t="s">
        <v>1655</v>
      </c>
      <c r="D87" s="181" t="s">
        <v>1678</v>
      </c>
      <c r="E87" s="181" t="s">
        <v>1627</v>
      </c>
    </row>
    <row r="88" spans="1:7" x14ac:dyDescent="0.25">
      <c r="A88" s="181" t="str">
        <f t="shared" si="1"/>
        <v>Nie</v>
      </c>
      <c r="B88" s="181" t="s">
        <v>1194</v>
      </c>
      <c r="C88" s="181" t="s">
        <v>1656</v>
      </c>
      <c r="D88" s="181" t="s">
        <v>1656</v>
      </c>
      <c r="E88" s="181" t="s">
        <v>1628</v>
      </c>
    </row>
    <row r="89" spans="1:7" x14ac:dyDescent="0.25">
      <c r="A89" s="181" t="str">
        <f t="shared" si="1"/>
        <v xml:space="preserve">Za mała głębokość na mech. roletowy (np. ślimak) </v>
      </c>
      <c r="B89" s="181" t="s">
        <v>1329</v>
      </c>
      <c r="C89" s="181" t="s">
        <v>1657</v>
      </c>
      <c r="D89" s="181" t="s">
        <v>1679</v>
      </c>
      <c r="E89" s="181" t="s">
        <v>1629</v>
      </c>
    </row>
    <row r="90" spans="1:7" x14ac:dyDescent="0.25">
      <c r="A90" s="181" t="str">
        <f t="shared" si="1"/>
        <v>Wybierz mechanizm roletowy C3</v>
      </c>
      <c r="B90" s="181" t="s">
        <v>1330</v>
      </c>
      <c r="C90" s="181" t="s">
        <v>1330</v>
      </c>
      <c r="D90" s="181" t="s">
        <v>1680</v>
      </c>
      <c r="E90" s="181" t="s">
        <v>1630</v>
      </c>
    </row>
    <row r="91" spans="1:7" x14ac:dyDescent="0.25">
      <c r="A91" s="181" t="str">
        <f t="shared" si="1"/>
        <v>nie można zastosować ślimaka rolety</v>
      </c>
      <c r="B91" s="181" t="s">
        <v>1331</v>
      </c>
      <c r="C91" s="181" t="s">
        <v>1658</v>
      </c>
      <c r="D91" s="181" t="s">
        <v>1681</v>
      </c>
      <c r="E91" s="181" t="s">
        <v>1631</v>
      </c>
    </row>
    <row r="92" spans="1:7" x14ac:dyDescent="0.25">
      <c r="A92" s="181" t="str">
        <f t="shared" si="1"/>
        <v>nie można zastosować mech.rolet. C3</v>
      </c>
      <c r="B92" s="181" t="s">
        <v>1332</v>
      </c>
      <c r="C92" s="181" t="s">
        <v>1659</v>
      </c>
      <c r="D92" s="181" t="s">
        <v>1682</v>
      </c>
      <c r="E92" s="181" t="s">
        <v>1632</v>
      </c>
    </row>
    <row r="93" spans="1:7" x14ac:dyDescent="0.25">
      <c r="A93" s="181" t="str">
        <f t="shared" si="1"/>
        <v>nie można zastosować ślimaka rolety</v>
      </c>
      <c r="B93" s="181" t="s">
        <v>1536</v>
      </c>
      <c r="C93" s="181" t="s">
        <v>1660</v>
      </c>
      <c r="D93" s="181" t="s">
        <v>1681</v>
      </c>
      <c r="E93" s="181" t="s">
        <v>1633</v>
      </c>
    </row>
    <row r="94" spans="1:7" x14ac:dyDescent="0.25">
      <c r="A94" s="181" t="str">
        <f t="shared" si="1"/>
        <v>taśma klejąca do przyklejenia żaluzji</v>
      </c>
      <c r="B94" s="181" t="s">
        <v>1333</v>
      </c>
      <c r="C94" s="181" t="s">
        <v>1661</v>
      </c>
      <c r="D94" s="181" t="s">
        <v>1683</v>
      </c>
      <c r="E94" s="181" t="s">
        <v>1634</v>
      </c>
    </row>
    <row r="95" spans="1:7" x14ac:dyDescent="0.25">
      <c r="A95" s="181" t="str">
        <f t="shared" si="1"/>
        <v>Rozmiar</v>
      </c>
      <c r="B95" s="181" t="s">
        <v>21</v>
      </c>
      <c r="C95" s="181" t="s">
        <v>1262</v>
      </c>
      <c r="D95" s="181" t="s">
        <v>1263</v>
      </c>
      <c r="E95" s="181" t="s">
        <v>1607</v>
      </c>
    </row>
    <row r="96" spans="1:7" x14ac:dyDescent="0.25">
      <c r="A96" s="181" t="str">
        <f t="shared" si="1"/>
        <v>do skracania</v>
      </c>
      <c r="B96" s="181" t="s">
        <v>1519</v>
      </c>
      <c r="C96" s="181" t="s">
        <v>1662</v>
      </c>
      <c r="D96" s="181" t="s">
        <v>1684</v>
      </c>
      <c r="E96" s="181" t="s">
        <v>1635</v>
      </c>
    </row>
    <row r="97" spans="1:7" s="185" customFormat="1" x14ac:dyDescent="0.25">
      <c r="A97" s="184" t="str">
        <f t="shared" si="1"/>
        <v>Lista elementów</v>
      </c>
      <c r="B97" s="184" t="s">
        <v>1528</v>
      </c>
      <c r="C97" s="184" t="s">
        <v>1663</v>
      </c>
      <c r="D97" s="184" t="s">
        <v>1685</v>
      </c>
      <c r="E97" s="184" t="s">
        <v>1636</v>
      </c>
      <c r="G97"/>
    </row>
    <row r="98" spans="1:7" s="185" customFormat="1" x14ac:dyDescent="0.25">
      <c r="A98" s="184" t="str">
        <f t="shared" si="1"/>
        <v>Instrukcja</v>
      </c>
      <c r="B98" s="184" t="s">
        <v>1529</v>
      </c>
      <c r="C98" s="184" t="s">
        <v>1529</v>
      </c>
      <c r="D98" s="184" t="s">
        <v>1686</v>
      </c>
      <c r="E98" s="184" t="s">
        <v>1637</v>
      </c>
      <c r="G98"/>
    </row>
    <row r="99" spans="1:7" x14ac:dyDescent="0.25">
      <c r="A99" s="181" t="str">
        <f t="shared" si="1"/>
        <v>Do przykręcania. Aluminiowe listwy torowe, które mają osłony w takim samym kolorze jak rolety.</v>
      </c>
      <c r="B99" s="181" t="s">
        <v>1537</v>
      </c>
      <c r="C99" s="181" t="s">
        <v>1664</v>
      </c>
      <c r="D99" s="181" t="s">
        <v>1687</v>
      </c>
      <c r="E99" s="181" t="s">
        <v>1638</v>
      </c>
    </row>
    <row r="100" spans="1:7" x14ac:dyDescent="0.25">
      <c r="A100" s="181" t="str">
        <f t="shared" si="1"/>
        <v>System nakładany (FRAME). Prowadnica tego systemu składa się z dwóch części: aluminowego toru i osłony, która jest w tym samym kolorze co roleta.</v>
      </c>
      <c r="B100" s="181" t="s">
        <v>1538</v>
      </c>
      <c r="C100" s="181" t="s">
        <v>1665</v>
      </c>
      <c r="D100" s="181" t="s">
        <v>1688</v>
      </c>
      <c r="E100" s="181" t="s">
        <v>1639</v>
      </c>
    </row>
    <row r="101" spans="1:7" x14ac:dyDescent="0.25">
      <c r="A101" s="181" t="str">
        <f t="shared" si="1"/>
        <v xml:space="preserve">Tor i osłona są dostępne we wszystkich kolorach oprócz nierdz. z aluminiową powierzchnią (metallic-line). Pozostałe elementy są w wybranym kolorze (buk, brzoza...). Jeśli jest wybrany inny kolor niż aluminium albo nierdz. dno należy wpuścić o 10 mm niżej od boków, albo wyciągnąć o 18 mm. </v>
      </c>
      <c r="B101" s="181" t="s">
        <v>2344</v>
      </c>
      <c r="C101" s="181" t="s">
        <v>2345</v>
      </c>
      <c r="D101" s="181" t="s">
        <v>2346</v>
      </c>
      <c r="E101" s="181" t="s">
        <v>2347</v>
      </c>
    </row>
    <row r="102" spans="1:7" x14ac:dyDescent="0.25">
      <c r="A102" s="181" t="str">
        <f t="shared" si="1"/>
        <v>Wzorniki kolorów są jedynie orientacyjne</v>
      </c>
      <c r="B102" s="181" t="s">
        <v>1531</v>
      </c>
      <c r="C102" s="181" t="s">
        <v>1666</v>
      </c>
      <c r="D102" s="181" t="s">
        <v>1689</v>
      </c>
      <c r="E102" s="181" t="s">
        <v>1640</v>
      </c>
    </row>
    <row r="103" spans="1:7" x14ac:dyDescent="0.25">
      <c r="A103" s="181" t="str">
        <f t="shared" si="1"/>
        <v>Instrukcje montażu są dostępne na naszym portalu www.demos24plus.com</v>
      </c>
      <c r="B103" s="181" t="s">
        <v>1805</v>
      </c>
      <c r="C103" s="181" t="s">
        <v>1806</v>
      </c>
      <c r="D103" s="181" t="s">
        <v>1807</v>
      </c>
      <c r="E103" s="181" t="s">
        <v>1808</v>
      </c>
    </row>
    <row r="104" spans="1:7" x14ac:dyDescent="0.25">
      <c r="A104" s="181" t="str">
        <f t="shared" si="1"/>
        <v>System do przykręcania. Tory są dostępne jedynie w unikolorach.</v>
      </c>
      <c r="B104" s="181" t="s">
        <v>1533</v>
      </c>
      <c r="C104" s="181" t="s">
        <v>1667</v>
      </c>
      <c r="D104" s="181" t="s">
        <v>1690</v>
      </c>
      <c r="E104" s="181" t="s">
        <v>1641</v>
      </c>
    </row>
    <row r="105" spans="1:7" x14ac:dyDescent="0.25">
      <c r="A105" s="181" t="str">
        <f>CONCATENATE(IF($A$1=1,B:B,IF($A$1=2,C:C,IF($A$1=3,D:D,IF($A$1=4,E:E)))),F105)</f>
        <v>Pion.25.01</v>
      </c>
      <c r="B105" s="181" t="s">
        <v>1541</v>
      </c>
      <c r="C105" s="181" t="s">
        <v>1541</v>
      </c>
      <c r="D105" s="181" t="s">
        <v>1691</v>
      </c>
      <c r="E105" s="181" t="s">
        <v>1541</v>
      </c>
      <c r="F105" s="317" t="s">
        <v>2757</v>
      </c>
    </row>
    <row r="106" spans="1:7" x14ac:dyDescent="0.25">
      <c r="A106" s="181" t="str">
        <f>CONCATENATE(IF($A$1=1,B:B,IF($A$1=2,C:C,IF($A$1=3,D:D,IF($A$1=4,E:E)))),F106)</f>
        <v>Podane ceny nie zawierają podatku VAT i obowiązują od 06.01.2025</v>
      </c>
      <c r="B106" s="181" t="s">
        <v>1542</v>
      </c>
      <c r="C106" s="181" t="s">
        <v>1668</v>
      </c>
      <c r="D106" s="181" t="s">
        <v>2758</v>
      </c>
      <c r="E106" s="181" t="s">
        <v>1642</v>
      </c>
      <c r="F106" s="317" t="s">
        <v>2756</v>
      </c>
    </row>
    <row r="107" spans="1:7" x14ac:dyDescent="0.25">
      <c r="A107" s="181" t="str">
        <f t="shared" si="1"/>
        <v>JM</v>
      </c>
      <c r="B107" s="181" t="s">
        <v>359</v>
      </c>
      <c r="C107" s="181" t="s">
        <v>359</v>
      </c>
      <c r="D107" s="181" t="s">
        <v>1692</v>
      </c>
      <c r="E107" s="181" t="s">
        <v>1643</v>
      </c>
    </row>
    <row r="108" spans="1:7" x14ac:dyDescent="0.25">
      <c r="A108" s="181" t="str">
        <f t="shared" si="1"/>
        <v>KOMP.</v>
      </c>
      <c r="B108" t="s">
        <v>723</v>
      </c>
      <c r="C108" t="s">
        <v>723</v>
      </c>
      <c r="D108" s="181" t="s">
        <v>1693</v>
      </c>
      <c r="E108" t="s">
        <v>1644</v>
      </c>
    </row>
    <row r="109" spans="1:7" x14ac:dyDescent="0.25">
      <c r="A109" s="181" t="str">
        <f t="shared" si="1"/>
        <v>MB</v>
      </c>
      <c r="B109" t="s">
        <v>629</v>
      </c>
      <c r="C109" t="s">
        <v>629</v>
      </c>
      <c r="D109" s="181" t="s">
        <v>1694</v>
      </c>
      <c r="E109" t="s">
        <v>1645</v>
      </c>
    </row>
    <row r="110" spans="1:7" x14ac:dyDescent="0.25">
      <c r="A110" s="181" t="str">
        <f t="shared" si="1"/>
        <v>PAR.</v>
      </c>
      <c r="B110" t="s">
        <v>657</v>
      </c>
      <c r="C110" t="s">
        <v>657</v>
      </c>
      <c r="D110" t="s">
        <v>1695</v>
      </c>
      <c r="E110" t="s">
        <v>1646</v>
      </c>
    </row>
    <row r="111" spans="1:7" x14ac:dyDescent="0.25">
      <c r="A111" s="181" t="str">
        <f t="shared" si="1"/>
        <v>SZT.</v>
      </c>
      <c r="B111" t="s">
        <v>643</v>
      </c>
      <c r="C111" t="s">
        <v>643</v>
      </c>
      <c r="D111" t="s">
        <v>1696</v>
      </c>
      <c r="E111" t="s">
        <v>1647</v>
      </c>
    </row>
    <row r="112" spans="1:7" s="185" customFormat="1" x14ac:dyDescent="0.25">
      <c r="A112" s="184" t="str">
        <f t="shared" si="1"/>
        <v>Formularz zamowieniowy rolet Rehau 25.01 PL</v>
      </c>
      <c r="B112" s="185" t="str">
        <f>CONCATENATE("Objednávkový formulář na rolety Rehau ",F105," CZ")</f>
        <v>Objednávkový formulář na rolety Rehau 25.01 CZ</v>
      </c>
      <c r="C112" s="185" t="str">
        <f>CONCATENATE("Objednávkový formulár na rolety Rehau ",F105," SK")</f>
        <v>Objednávkový formulár na rolety Rehau 25.01 SK</v>
      </c>
      <c r="D112" s="185" t="str">
        <f>CONCATENATE("Formularz zamowieniowy rolet Rehau ",F105," PL")</f>
        <v>Formularz zamowieniowy rolet Rehau 25.01 PL</v>
      </c>
      <c r="E112" s="185" t="str">
        <f>CONCATENATE("Megrendelési űrlap Rehau ",F105," redőnyökre HU")</f>
        <v>Megrendelési űrlap Rehau 25.01 redőnyökre HU</v>
      </c>
      <c r="G112"/>
    </row>
    <row r="113" spans="1:5" x14ac:dyDescent="0.25">
      <c r="A113" s="181" t="str">
        <f t="shared" si="1"/>
        <v>kontrolne zewnętrzne</v>
      </c>
      <c r="B113" s="41" t="s">
        <v>1726</v>
      </c>
      <c r="C113" t="s">
        <v>1868</v>
      </c>
      <c r="D113" t="s">
        <v>1867</v>
      </c>
      <c r="E113" s="305" t="s">
        <v>1869</v>
      </c>
    </row>
    <row r="114" spans="1:5" x14ac:dyDescent="0.25">
      <c r="A114" s="181" t="str">
        <f t="shared" si="1"/>
        <v>wewnętrzne</v>
      </c>
      <c r="B114" t="s">
        <v>1712</v>
      </c>
      <c r="C114" t="s">
        <v>1871</v>
      </c>
      <c r="D114" t="s">
        <v>1870</v>
      </c>
      <c r="E114" t="s">
        <v>1872</v>
      </c>
    </row>
    <row r="115" spans="1:5" x14ac:dyDescent="0.25">
      <c r="A115" s="181" t="str">
        <f t="shared" si="1"/>
        <v>(materiał gr. 18 mm)</v>
      </c>
      <c r="B115" s="41" t="s">
        <v>1714</v>
      </c>
      <c r="C115" t="s">
        <v>1874</v>
      </c>
      <c r="D115" t="s">
        <v>1873</v>
      </c>
      <c r="E115" t="s">
        <v>1875</v>
      </c>
    </row>
    <row r="116" spans="1:5" x14ac:dyDescent="0.25">
      <c r="A116" s="181" t="str">
        <f t="shared" si="1"/>
        <v>Aluminium szerokość 25 mm (metallic-line)</v>
      </c>
      <c r="B116" t="s">
        <v>1781</v>
      </c>
      <c r="C116" t="s">
        <v>1782</v>
      </c>
      <c r="D116" t="s">
        <v>1783</v>
      </c>
      <c r="E116" t="s">
        <v>1784</v>
      </c>
    </row>
    <row r="117" spans="1:5" x14ac:dyDescent="0.25">
      <c r="A117" s="181" t="str">
        <f t="shared" si="1"/>
        <v>Nierdz. szerokość 25 mm (metallic-line)</v>
      </c>
      <c r="B117" t="s">
        <v>1785</v>
      </c>
      <c r="C117" t="s">
        <v>1774</v>
      </c>
      <c r="D117" t="s">
        <v>1776</v>
      </c>
      <c r="E117" t="s">
        <v>1786</v>
      </c>
    </row>
    <row r="118" spans="1:5" x14ac:dyDescent="0.25">
      <c r="A118" s="181" t="str">
        <f t="shared" si="1"/>
        <v>Prosimy korzystać zawsze z aktualnej wersji formularza umieszczonego na naszych stronach web.</v>
      </c>
      <c r="B118" t="s">
        <v>1788</v>
      </c>
      <c r="C118" t="s">
        <v>1789</v>
      </c>
      <c r="D118" t="s">
        <v>1790</v>
      </c>
      <c r="E118" t="s">
        <v>1791</v>
      </c>
    </row>
    <row r="119" spans="1:5" x14ac:dyDescent="0.25">
      <c r="A119" s="181" t="str">
        <f t="shared" si="1"/>
        <v>Zapisane zamówienie wyślij pod adres</v>
      </c>
      <c r="B119" t="s">
        <v>1793</v>
      </c>
      <c r="C119" t="s">
        <v>1794</v>
      </c>
      <c r="D119" t="s">
        <v>1795</v>
      </c>
      <c r="E119" t="s">
        <v>1796</v>
      </c>
    </row>
    <row r="120" spans="1:5" x14ac:dyDescent="0.25">
      <c r="A120" s="181" t="str">
        <f t="shared" si="1"/>
        <v>zamowienia@demos-trade.com</v>
      </c>
      <c r="B120" t="s">
        <v>1797</v>
      </c>
      <c r="C120" t="s">
        <v>1797</v>
      </c>
      <c r="D120" t="s">
        <v>1798</v>
      </c>
      <c r="E120" t="s">
        <v>1799</v>
      </c>
    </row>
    <row r="121" spans="1:5" x14ac:dyDescent="0.25">
      <c r="A121" s="181" t="str">
        <f t="shared" si="1"/>
        <v>Formularz składa się z kilku stron, które można przełączać w dolnej części.</v>
      </c>
      <c r="B121" s="128" t="s">
        <v>1792</v>
      </c>
      <c r="C121" t="s">
        <v>1800</v>
      </c>
      <c r="D121" t="s">
        <v>1801</v>
      </c>
      <c r="E121" t="s">
        <v>1802</v>
      </c>
    </row>
    <row r="122" spans="1:5" x14ac:dyDescent="0.25">
      <c r="A122" s="181" t="str">
        <f t="shared" si="1"/>
        <v>Do formularza należy zapisać wyłącznie rozmiary wewnętrzne szafki (rozmiary zewnętrzne służą do kontroli)</v>
      </c>
      <c r="B122" s="41" t="s">
        <v>1803</v>
      </c>
      <c r="C122" t="s">
        <v>1877</v>
      </c>
      <c r="D122" t="s">
        <v>1876</v>
      </c>
      <c r="E122" t="s">
        <v>1878</v>
      </c>
    </row>
    <row r="123" spans="1:5" x14ac:dyDescent="0.25">
      <c r="A123" s="181" t="str">
        <f t="shared" si="1"/>
        <v>W wypadku, kiedy któraś z pozycji jest na zamówienie, minimalny odbiór wyłącznie w pełnych opakowaniach</v>
      </c>
      <c r="B123" s="41" t="s">
        <v>1804</v>
      </c>
      <c r="C123" t="s">
        <v>1880</v>
      </c>
      <c r="D123" t="s">
        <v>1879</v>
      </c>
      <c r="E123" t="s">
        <v>1881</v>
      </c>
    </row>
    <row r="124" spans="1:5" x14ac:dyDescent="0.25">
      <c r="A124" s="181" t="str">
        <f t="shared" si="1"/>
        <v>Do rolet pionowych powyżej 500mm zalecamy zastosowanie odpowiedniego mechanizmu (C3, C6, C8, Caddy)</v>
      </c>
      <c r="B124" s="41" t="s">
        <v>1834</v>
      </c>
      <c r="C124" t="s">
        <v>1883</v>
      </c>
      <c r="D124" t="s">
        <v>1882</v>
      </c>
      <c r="E124" t="s">
        <v>1884</v>
      </c>
    </row>
    <row r="125" spans="1:5" x14ac:dyDescent="0.25">
      <c r="A125" s="181" t="str">
        <f t="shared" si="1"/>
        <v>Formularz służy jako pomoc do konfiguracji, do właściwego działania rolety zawsze należy kierować się zaleceniami producenta (Rehau)</v>
      </c>
      <c r="B125" s="41" t="s">
        <v>1832</v>
      </c>
      <c r="C125" t="s">
        <v>1886</v>
      </c>
      <c r="D125" t="s">
        <v>1885</v>
      </c>
      <c r="E125" t="s">
        <v>1887</v>
      </c>
    </row>
    <row r="126" spans="1:5" x14ac:dyDescent="0.25">
      <c r="A126" s="181" t="str">
        <f t="shared" si="1"/>
        <v>Telefon kontaktowy</v>
      </c>
      <c r="B126" s="128" t="s">
        <v>1809</v>
      </c>
      <c r="C126" t="s">
        <v>1810</v>
      </c>
      <c r="D126" t="s">
        <v>1811</v>
      </c>
      <c r="E126" t="s">
        <v>1812</v>
      </c>
    </row>
    <row r="127" spans="1:5" x14ac:dyDescent="0.25">
      <c r="A127" s="181" t="str">
        <f t="shared" si="1"/>
        <v>Adres e-mail</v>
      </c>
      <c r="B127" s="128" t="s">
        <v>1813</v>
      </c>
      <c r="C127" t="s">
        <v>1814</v>
      </c>
      <c r="D127" t="s">
        <v>1815</v>
      </c>
      <c r="E127" t="s">
        <v>1816</v>
      </c>
    </row>
    <row r="128" spans="1:5" x14ac:dyDescent="0.25">
      <c r="A128" s="181" t="str">
        <f t="shared" si="1"/>
        <v>Adres</v>
      </c>
      <c r="B128" s="280" t="s">
        <v>1817</v>
      </c>
      <c r="C128" s="41" t="s">
        <v>1817</v>
      </c>
      <c r="D128" s="41" t="s">
        <v>1818</v>
      </c>
      <c r="E128" s="41" t="s">
        <v>1819</v>
      </c>
    </row>
    <row r="129" spans="1:6" x14ac:dyDescent="0.25">
      <c r="A129" s="181" t="str">
        <f t="shared" si="1"/>
        <v>Wpisz proszę dane kontaktowe i kliknij w okienko zamawianie żaluzji.</v>
      </c>
      <c r="B129" s="41" t="s">
        <v>1829</v>
      </c>
      <c r="C129" s="41" t="s">
        <v>1830</v>
      </c>
      <c r="D129" s="41" t="s">
        <v>1831</v>
      </c>
      <c r="E129" t="s">
        <v>1821</v>
      </c>
    </row>
    <row r="130" spans="1:6" x14ac:dyDescent="0.25">
      <c r="A130" s="181" t="str">
        <f t="shared" si="1"/>
        <v>Poprzez zapisanie danych potwierdzasz, że zapoznałeś się z podanymi niżej informacjami!</v>
      </c>
      <c r="B130" t="s">
        <v>1822</v>
      </c>
      <c r="C130" t="s">
        <v>1823</v>
      </c>
      <c r="D130" t="s">
        <v>1824</v>
      </c>
      <c r="E130" s="305" t="s">
        <v>1888</v>
      </c>
    </row>
    <row r="131" spans="1:6" x14ac:dyDescent="0.25">
      <c r="A131" s="181" t="str">
        <f t="shared" ref="A131:A177" si="2">IF($A$1=1,B:B,IF($A$1=2,C:C,IF($A$1=3,D:D,IF($A$1=4,E:E))))</f>
        <v>Formularz zamowieniowy rolet Rehau</v>
      </c>
      <c r="B131" s="41" t="s">
        <v>1825</v>
      </c>
      <c r="C131" s="41" t="s">
        <v>1826</v>
      </c>
      <c r="D131" s="41" t="s">
        <v>1827</v>
      </c>
      <c r="E131" s="41" t="s">
        <v>1828</v>
      </c>
      <c r="F131" s="41"/>
    </row>
    <row r="132" spans="1:6" x14ac:dyDescent="0.25">
      <c r="A132" s="181" t="str">
        <f t="shared" si="2"/>
        <v>W formularzu nie zawsze są dokładnie podane ograniczenia maksymalnych rozmiarów szafki, należy zatem dotrzymywać zalecenia producenta (Rehau)</v>
      </c>
      <c r="B132" s="181" t="s">
        <v>1833</v>
      </c>
      <c r="C132" s="181" t="s">
        <v>1890</v>
      </c>
      <c r="D132" s="181" t="s">
        <v>1889</v>
      </c>
      <c r="E132" s="305" t="s">
        <v>1891</v>
      </c>
    </row>
    <row r="133" spans="1:6" x14ac:dyDescent="0.25">
      <c r="A133" s="181" t="str">
        <f t="shared" si="2"/>
        <v>Aluminium (metallic-line)</v>
      </c>
      <c r="B133" s="183" t="s">
        <v>1835</v>
      </c>
      <c r="C133" s="183" t="s">
        <v>1835</v>
      </c>
      <c r="D133" s="181" t="s">
        <v>1837</v>
      </c>
      <c r="E133" s="183" t="s">
        <v>1839</v>
      </c>
    </row>
    <row r="134" spans="1:6" x14ac:dyDescent="0.25">
      <c r="A134" s="181" t="str">
        <f t="shared" si="2"/>
        <v>Nierdz. (metallic-line)</v>
      </c>
      <c r="B134" s="183" t="s">
        <v>1836</v>
      </c>
      <c r="C134" s="183" t="s">
        <v>1836</v>
      </c>
      <c r="D134" s="181" t="s">
        <v>1838</v>
      </c>
      <c r="E134" s="183" t="s">
        <v>1840</v>
      </c>
    </row>
    <row r="135" spans="1:6" x14ac:dyDescent="0.25">
      <c r="A135" s="181" t="str">
        <f t="shared" si="2"/>
        <v>Maksymalna zalecana długość profili roletowych zapisanych w formularzu (szerokość maty roletowej) jest 1200 mm</v>
      </c>
      <c r="B135" t="s">
        <v>1841</v>
      </c>
      <c r="C135" t="s">
        <v>1893</v>
      </c>
      <c r="D135" t="s">
        <v>1892</v>
      </c>
      <c r="E135" s="305" t="s">
        <v>1894</v>
      </c>
    </row>
    <row r="136" spans="1:6" x14ac:dyDescent="0.25">
      <c r="A136" s="181" t="str">
        <f t="shared" si="2"/>
        <v>Jeżeli w formularzu po zapisaniu konkretnych danych nie pojawia się kwota końcowa, chodzi o błędną kombinację /połączenie danych/ (należy zwrócić się o pomoc do technika)</v>
      </c>
      <c r="B136" t="s">
        <v>1842</v>
      </c>
      <c r="C136" t="s">
        <v>1896</v>
      </c>
      <c r="D136" t="s">
        <v>1895</v>
      </c>
      <c r="E136" s="305" t="s">
        <v>1897</v>
      </c>
    </row>
    <row r="137" spans="1:6" x14ac:dyDescent="0.25">
      <c r="A137" s="181" t="str">
        <f t="shared" si="2"/>
        <v>(zmianę danych można przeprowadzić na stronie wstępnej formularza)</v>
      </c>
      <c r="B137" s="24" t="s">
        <v>2304</v>
      </c>
      <c r="C137" t="s">
        <v>1899</v>
      </c>
      <c r="D137" t="s">
        <v>1898</v>
      </c>
      <c r="E137" s="306" t="s">
        <v>1900</v>
      </c>
    </row>
    <row r="138" spans="1:6" x14ac:dyDescent="0.25">
      <c r="A138" s="184" t="str">
        <f t="shared" si="2"/>
        <v>Wprowadzenie</v>
      </c>
      <c r="B138" s="185" t="s">
        <v>1902</v>
      </c>
      <c r="C138" s="185" t="s">
        <v>1902</v>
      </c>
      <c r="D138" s="185" t="s">
        <v>1901</v>
      </c>
      <c r="E138" s="185" t="s">
        <v>1903</v>
      </c>
      <c r="F138" s="185"/>
    </row>
    <row r="139" spans="1:6" x14ac:dyDescent="0.25">
      <c r="A139" s="181" t="str">
        <f t="shared" si="2"/>
        <v>śnieżno biala mat (E9)</v>
      </c>
      <c r="B139" s="321" t="s">
        <v>2172</v>
      </c>
      <c r="C139" s="321" t="s">
        <v>2276</v>
      </c>
      <c r="D139" s="321" t="s">
        <v>2341</v>
      </c>
      <c r="E139" s="321" t="s">
        <v>2277</v>
      </c>
    </row>
    <row r="140" spans="1:6" x14ac:dyDescent="0.25">
      <c r="A140" s="181" t="str">
        <f t="shared" si="2"/>
        <v>Aluminowa plastik (E4)</v>
      </c>
      <c r="B140" s="321" t="s">
        <v>2003</v>
      </c>
      <c r="C140" s="321" t="s">
        <v>2003</v>
      </c>
      <c r="D140" s="181" t="s">
        <v>2274</v>
      </c>
      <c r="E140" s="183" t="s">
        <v>2275</v>
      </c>
    </row>
    <row r="141" spans="1:6" x14ac:dyDescent="0.25">
      <c r="A141" s="181" t="str">
        <f t="shared" si="2"/>
        <v xml:space="preserve">Rodzaje profili roletowych </v>
      </c>
      <c r="B141" s="348" t="s">
        <v>2156</v>
      </c>
      <c r="C141" t="s">
        <v>2224</v>
      </c>
      <c r="D141" s="325" t="s">
        <v>2249</v>
      </c>
      <c r="E141" s="326" t="s">
        <v>2250</v>
      </c>
    </row>
    <row r="142" spans="1:6" x14ac:dyDescent="0.25">
      <c r="A142" s="181" t="str">
        <f t="shared" si="2"/>
        <v>Kolor śnieżno biały w profilu E9 można łączyć jedynie z prowadzeniem Classic i systemem nawijania do tyłu</v>
      </c>
      <c r="B142" s="348" t="s">
        <v>2215</v>
      </c>
      <c r="C142" t="s">
        <v>2225</v>
      </c>
      <c r="D142" s="325" t="s">
        <v>2342</v>
      </c>
      <c r="E142" s="326" t="s">
        <v>2251</v>
      </c>
    </row>
    <row r="143" spans="1:6" x14ac:dyDescent="0.25">
      <c r="A143" s="181" t="str">
        <f t="shared" si="2"/>
        <v>Kolor aluminium plastik w profilu E4 jest idealny do poziomych rozwiązań w kombinacji z prowadzeniem Classic z systemem nawijania do tyłu</v>
      </c>
      <c r="B143" t="s">
        <v>2218</v>
      </c>
      <c r="C143" t="s">
        <v>2226</v>
      </c>
      <c r="D143" s="325" t="s">
        <v>2272</v>
      </c>
      <c r="E143" s="326" t="s">
        <v>2273</v>
      </c>
    </row>
    <row r="144" spans="1:6" x14ac:dyDescent="0.25">
      <c r="A144" s="181" t="str">
        <f t="shared" si="2"/>
        <v>Systemu prowadzenia TOP BASIC nie da się zastosować z roletowym profilem Metallic line. Należy wybrać wersję TOP.</v>
      </c>
      <c r="B144" t="s">
        <v>2200</v>
      </c>
      <c r="C144" t="s">
        <v>2227</v>
      </c>
      <c r="D144" s="325" t="s">
        <v>2264</v>
      </c>
      <c r="E144" s="326" t="s">
        <v>2265</v>
      </c>
    </row>
    <row r="145" spans="1:5" x14ac:dyDescent="0.25">
      <c r="A145" s="181" t="str">
        <f t="shared" si="2"/>
        <v>Koloru BUK w profilu E23 nie da się łączyć z prowadzeniem FRAME.</v>
      </c>
      <c r="B145" s="348" t="s">
        <v>2199</v>
      </c>
      <c r="C145" t="s">
        <v>2228</v>
      </c>
      <c r="D145" s="325" t="s">
        <v>2252</v>
      </c>
      <c r="E145" s="326" t="s">
        <v>2253</v>
      </c>
    </row>
    <row r="146" spans="1:5" x14ac:dyDescent="0.25">
      <c r="A146" s="181" t="str">
        <f t="shared" si="2"/>
        <v>Nakładany system prowadzenia z metalic-line 29 mm i mechanizmem C3 można łączyć jedynie z systemem nawijania przez mechanike C3</v>
      </c>
      <c r="B146" s="348" t="s">
        <v>2203</v>
      </c>
      <c r="C146" t="s">
        <v>2229</v>
      </c>
      <c r="D146" s="325" t="s">
        <v>2254</v>
      </c>
      <c r="E146" s="326" t="s">
        <v>2255</v>
      </c>
    </row>
    <row r="147" spans="1:5" x14ac:dyDescent="0.25">
      <c r="A147" s="181" t="str">
        <f t="shared" si="2"/>
        <v>Systemu TOP BASIC nie da się zastosować z ślimakiem roletowym. Zalecamy wybrać wersję TOP.</v>
      </c>
      <c r="B147" s="348" t="s">
        <v>2219</v>
      </c>
      <c r="C147" t="s">
        <v>2230</v>
      </c>
      <c r="D147" s="325" t="s">
        <v>2256</v>
      </c>
      <c r="E147" s="326" t="s">
        <v>2257</v>
      </c>
    </row>
    <row r="148" spans="1:5" x14ac:dyDescent="0.25">
      <c r="A148" s="181" t="str">
        <f t="shared" si="2"/>
        <v xml:space="preserve">Maksymalna zalecana wysokość przy poziomym ruchu żaluzji w połączeniu z profilem E4 to 1900mm. </v>
      </c>
      <c r="B148" s="348" t="s">
        <v>2198</v>
      </c>
      <c r="C148" t="s">
        <v>2236</v>
      </c>
      <c r="D148" s="325" t="s">
        <v>2270</v>
      </c>
      <c r="E148" s="326" t="s">
        <v>2271</v>
      </c>
    </row>
    <row r="149" spans="1:5" x14ac:dyDescent="0.25">
      <c r="A149" s="181" t="str">
        <f t="shared" si="2"/>
        <v>Systemu nawijania na mechanizm C3 nie można łączyć z prowadzeniem TOP BASIC bez samodzielnego dostosowywania profilu prowadzącego (zob. instrukcja). Kolejnym rozwiązaniem jest wybór prowadzenia TOP.</v>
      </c>
      <c r="B149" s="348" t="s">
        <v>2174</v>
      </c>
      <c r="C149" t="s">
        <v>2231</v>
      </c>
      <c r="D149" s="325" t="s">
        <v>2258</v>
      </c>
      <c r="E149" s="326" t="s">
        <v>2259</v>
      </c>
    </row>
    <row r="150" spans="1:5" x14ac:dyDescent="0.25">
      <c r="A150" s="181" t="str">
        <f t="shared" si="2"/>
        <v>Systemu nawijania na mechanizm C3 nie można łączyć z prowadzeniem Classic, zalecamy wybrać inny system nawijania.</v>
      </c>
      <c r="B150" s="348" t="s">
        <v>2216</v>
      </c>
      <c r="C150" t="s">
        <v>2232</v>
      </c>
      <c r="D150" s="325" t="s">
        <v>2260</v>
      </c>
      <c r="E150" s="326" t="s">
        <v>2261</v>
      </c>
    </row>
    <row r="151" spans="1:5" x14ac:dyDescent="0.25">
      <c r="A151" s="181" t="str">
        <f t="shared" si="2"/>
        <v>Nakładany system prowadzenia z metalic-line 29 mm i mechanizmem C3 zalecamy łaczyć tylko z profilem Metallic Line.</v>
      </c>
      <c r="B151" s="348" t="s">
        <v>2202</v>
      </c>
      <c r="C151" t="s">
        <v>2233</v>
      </c>
      <c r="D151" s="325" t="s">
        <v>2262</v>
      </c>
      <c r="E151" s="326" t="s">
        <v>2263</v>
      </c>
    </row>
    <row r="152" spans="1:5" x14ac:dyDescent="0.25">
      <c r="A152" s="181" t="str">
        <f t="shared" si="2"/>
        <v>Systemu prowadzenia TOP BASIC nie da się zastosować z roletowym profilem Metallic line. Należy wybrać wersję TOP.</v>
      </c>
      <c r="B152" s="348" t="s">
        <v>2200</v>
      </c>
      <c r="C152" t="s">
        <v>2227</v>
      </c>
      <c r="D152" s="325" t="s">
        <v>2264</v>
      </c>
      <c r="E152" s="326" t="s">
        <v>2265</v>
      </c>
    </row>
    <row r="153" spans="1:5" x14ac:dyDescent="0.25">
      <c r="A153" s="181" t="str">
        <f t="shared" si="2"/>
        <v>U systemu nawijania do tyłu i do ślimaka roletowego nie da się zastosować nakładanego systemu prowadzenia 29 mm i mechanizmu C3. Należy wybrać wersję FRAME.</v>
      </c>
      <c r="B153" s="348" t="s">
        <v>2201</v>
      </c>
      <c r="C153" t="s">
        <v>2234</v>
      </c>
      <c r="D153" s="325" t="s">
        <v>2266</v>
      </c>
      <c r="E153" s="326" t="s">
        <v>2267</v>
      </c>
    </row>
    <row r="154" spans="1:5" x14ac:dyDescent="0.25">
      <c r="A154" s="181" t="str">
        <f t="shared" si="2"/>
        <v>Mechanizmu C3 nie da się zastosować przy poziomym ruchu żaluzji.</v>
      </c>
      <c r="B154" s="348" t="s">
        <v>2217</v>
      </c>
      <c r="C154" t="s">
        <v>2235</v>
      </c>
      <c r="D154" s="325" t="s">
        <v>2268</v>
      </c>
      <c r="E154" s="326" t="s">
        <v>2269</v>
      </c>
    </row>
    <row r="155" spans="1:5" x14ac:dyDescent="0.25">
      <c r="A155" s="181" t="str">
        <f t="shared" si="2"/>
        <v>Do szafki nad 800mm (rozmiary wewnętrzne) zalecamy zastosowć mechanizm C3 (należy wziąć pod uwagę kombinację wysokości i szerokości).</v>
      </c>
      <c r="B155" s="348" t="s">
        <v>2291</v>
      </c>
      <c r="C155" t="s">
        <v>2294</v>
      </c>
      <c r="D155" s="325" t="s">
        <v>2297</v>
      </c>
      <c r="E155" s="326" t="s">
        <v>2300</v>
      </c>
    </row>
    <row r="156" spans="1:5" x14ac:dyDescent="0.25">
      <c r="A156" s="181" t="str">
        <f t="shared" si="2"/>
        <v>Nie zaleca się stosowania żaluzji z prowadzeniem pionowym do szafki o szerokości większej niż 1164 mm (rozmiary wewnętrzne). Rozwiązaniem jest podzielenie żaluzji lub zmiana kierunku ruchu żaluzji na poziomy.</v>
      </c>
      <c r="B156" s="348" t="s">
        <v>2292</v>
      </c>
      <c r="C156" t="s">
        <v>2295</v>
      </c>
      <c r="D156" s="325" t="s">
        <v>2298</v>
      </c>
      <c r="E156" s="326" t="s">
        <v>2301</v>
      </c>
    </row>
    <row r="157" spans="1:5" x14ac:dyDescent="0.25">
      <c r="A157" s="181" t="str">
        <f t="shared" si="2"/>
        <v>Przy poziomym ruchu żaluzji w kombinacji z roletami typu E23, E9 lub Metallic line maksymalna zalecana wysokość to 1150 mm (rozmiary wewnętrzne). Aby uzyskać wyższą wersję, musisz wybrać profil W4 w kombinacji z systemem Classic.</v>
      </c>
      <c r="B157" s="348" t="s">
        <v>2293</v>
      </c>
      <c r="C157" t="s">
        <v>2296</v>
      </c>
      <c r="D157" s="325" t="s">
        <v>2299</v>
      </c>
      <c r="E157" s="326" t="s">
        <v>2302</v>
      </c>
    </row>
    <row r="158" spans="1:5" ht="13.8" x14ac:dyDescent="0.3">
      <c r="A158" s="181" t="str">
        <f t="shared" si="2"/>
        <v>wykończenie kolorystyczne aluminium lub stal nierdzewna</v>
      </c>
      <c r="B158" s="221" t="s">
        <v>2161</v>
      </c>
      <c r="C158" t="s">
        <v>2327</v>
      </c>
      <c r="D158" t="s">
        <v>2305</v>
      </c>
      <c r="E158" t="s">
        <v>2306</v>
      </c>
    </row>
    <row r="159" spans="1:5" ht="13.8" x14ac:dyDescent="0.3">
      <c r="A159" s="181" t="str">
        <f t="shared" si="2"/>
        <v>Classic (w kombinacji z plastikową prowadnicą)</v>
      </c>
      <c r="B159" s="221" t="s">
        <v>2171</v>
      </c>
      <c r="C159" t="s">
        <v>2328</v>
      </c>
      <c r="D159" t="s">
        <v>2307</v>
      </c>
      <c r="E159" t="s">
        <v>2308</v>
      </c>
    </row>
    <row r="160" spans="1:5" ht="13.8" x14ac:dyDescent="0.3">
      <c r="A160" s="181" t="str">
        <f t="shared" si="2"/>
        <v>elegancki wygląd</v>
      </c>
      <c r="B160" s="221" t="s">
        <v>2166</v>
      </c>
      <c r="C160" t="s">
        <v>2329</v>
      </c>
      <c r="D160" t="s">
        <v>2309</v>
      </c>
      <c r="E160" t="s">
        <v>2310</v>
      </c>
    </row>
    <row r="161" spans="1:5" ht="13.8" x14ac:dyDescent="0.3">
      <c r="A161" s="181" t="str">
        <f t="shared" si="2"/>
        <v>jedynie kolor aluminium plastik</v>
      </c>
      <c r="B161" s="221" t="s">
        <v>2167</v>
      </c>
      <c r="C161" t="s">
        <v>2330</v>
      </c>
      <c r="D161" t="s">
        <v>2311</v>
      </c>
      <c r="E161" t="s">
        <v>2312</v>
      </c>
    </row>
    <row r="162" spans="1:5" ht="13.8" x14ac:dyDescent="0.3">
      <c r="A162" s="181" t="str">
        <f t="shared" si="2"/>
        <v>wygląd metaliczny</v>
      </c>
      <c r="B162" s="221" t="s">
        <v>2160</v>
      </c>
      <c r="C162" t="s">
        <v>2331</v>
      </c>
      <c r="D162" t="s">
        <v>2313</v>
      </c>
      <c r="E162" t="s">
        <v>2314</v>
      </c>
    </row>
    <row r="163" spans="1:5" ht="13.8" x14ac:dyDescent="0.3">
      <c r="A163" s="181" t="str">
        <f t="shared" si="2"/>
        <v>szczebelek profilu żaluzjowego jest zamkniety od wewnątrz</v>
      </c>
      <c r="B163" s="221" t="s">
        <v>2162</v>
      </c>
      <c r="C163" t="s">
        <v>2332</v>
      </c>
      <c r="D163" t="s">
        <v>2315</v>
      </c>
      <c r="E163" t="s">
        <v>2316</v>
      </c>
    </row>
    <row r="164" spans="1:5" ht="13.8" x14ac:dyDescent="0.3">
      <c r="A164" s="181" t="str">
        <f t="shared" si="2"/>
        <v>szczebelek profilu żaluzjowego jest od wewnątrz otwarty</v>
      </c>
      <c r="B164" s="221" t="s">
        <v>2163</v>
      </c>
      <c r="C164" t="s">
        <v>2333</v>
      </c>
      <c r="D164" t="s">
        <v>2317</v>
      </c>
      <c r="E164" t="s">
        <v>2318</v>
      </c>
    </row>
    <row r="165" spans="1:5" ht="13.8" x14ac:dyDescent="0.3">
      <c r="A165" s="181" t="str">
        <f t="shared" si="2"/>
        <v>plastikowe wykończenie</v>
      </c>
      <c r="B165" s="221" t="s">
        <v>2164</v>
      </c>
      <c r="C165" t="s">
        <v>2334</v>
      </c>
      <c r="D165" t="s">
        <v>2319</v>
      </c>
      <c r="E165" t="s">
        <v>2320</v>
      </c>
    </row>
    <row r="166" spans="1:5" ht="13.8" x14ac:dyDescent="0.3">
      <c r="A166" s="181" t="str">
        <f t="shared" si="2"/>
        <v>profile w różnych kombinacjach kolorystycznych</v>
      </c>
      <c r="B166" s="221" t="s">
        <v>2159</v>
      </c>
      <c r="C166" t="s">
        <v>2335</v>
      </c>
      <c r="D166" t="s">
        <v>2321</v>
      </c>
      <c r="E166" t="s">
        <v>2322</v>
      </c>
    </row>
    <row r="167" spans="1:5" ht="13.8" x14ac:dyDescent="0.3">
      <c r="A167" s="181" t="str">
        <f t="shared" si="2"/>
        <v>na magazynie design w kolorze śnieżno białym</v>
      </c>
      <c r="B167" s="221" t="s">
        <v>2165</v>
      </c>
      <c r="C167" t="s">
        <v>2336</v>
      </c>
      <c r="D167" t="s">
        <v>2323</v>
      </c>
      <c r="E167" t="s">
        <v>2324</v>
      </c>
    </row>
    <row r="168" spans="1:5" ht="13.8" x14ac:dyDescent="0.3">
      <c r="A168" s="181" t="str">
        <f t="shared" si="2"/>
        <v xml:space="preserve">odpowiednie do wysokich prowadzeń poziomych </v>
      </c>
      <c r="B168" s="221" t="s">
        <v>2168</v>
      </c>
      <c r="C168" t="s">
        <v>2337</v>
      </c>
      <c r="D168" t="s">
        <v>2325</v>
      </c>
      <c r="E168" t="s">
        <v>2326</v>
      </c>
    </row>
    <row r="169" spans="1:5" x14ac:dyDescent="0.25">
      <c r="A169" s="181" t="str">
        <f t="shared" si="2"/>
        <v>Koloru CALVADOS w profilu E23 nie da się łączyć z prowadzeniem FRAME.</v>
      </c>
      <c r="B169" s="348" t="s">
        <v>2278</v>
      </c>
      <c r="C169" s="321" t="s">
        <v>2279</v>
      </c>
      <c r="D169" s="325" t="s">
        <v>2280</v>
      </c>
      <c r="E169" s="326" t="s">
        <v>2281</v>
      </c>
    </row>
    <row r="170" spans="1:5" x14ac:dyDescent="0.25">
      <c r="A170" s="181" t="str">
        <f t="shared" si="2"/>
        <v>Koloru Czereśnia havana w profilu E23 nie da się łączyć z prowadzeniem FRAME.</v>
      </c>
      <c r="B170" s="348" t="s">
        <v>2282</v>
      </c>
      <c r="C170" s="321" t="s">
        <v>2283</v>
      </c>
      <c r="D170" s="325" t="s">
        <v>2284</v>
      </c>
      <c r="E170" s="326" t="s">
        <v>2285</v>
      </c>
    </row>
    <row r="171" spans="1:5" ht="13.8" x14ac:dyDescent="0.3">
      <c r="A171" s="181" t="str">
        <f t="shared" si="2"/>
        <v>przy prowadzeniu pionowym z mechanizmem C3 zalecane wymiary korpusu to: szerokość 364-1164mm i wysokość  614-2164mm (rozmiary wewnętrzne)</v>
      </c>
      <c r="B171" s="221" t="s">
        <v>2303</v>
      </c>
      <c r="C171" t="s">
        <v>2338</v>
      </c>
      <c r="D171" t="s">
        <v>2339</v>
      </c>
      <c r="E171" t="s">
        <v>2340</v>
      </c>
    </row>
    <row r="172" spans="1:5" ht="13.8" x14ac:dyDescent="0.3">
      <c r="A172" s="181" t="str">
        <f t="shared" si="2"/>
        <v>rozmiary wewnętrzne</v>
      </c>
      <c r="B172" s="221" t="s">
        <v>2287</v>
      </c>
      <c r="C172" t="s">
        <v>2289</v>
      </c>
      <c r="D172" t="s">
        <v>2290</v>
      </c>
      <c r="E172" t="s">
        <v>2288</v>
      </c>
    </row>
    <row r="173" spans="1:5" ht="36" x14ac:dyDescent="0.25">
      <c r="A173" s="181" t="str">
        <f t="shared" si="2"/>
        <v>Nakładany system prowadzenia (29 mm). Chodzi o prowadzenie w kolorze aluminium lub stali nierdzewnej w profilu Metallic line i w kombinacji z mechanizmem C3. 
Prowadnice należy przed montażem przygotować zgodnie z rysunkiem poniżej.</v>
      </c>
      <c r="B173" s="348" t="s">
        <v>2348</v>
      </c>
      <c r="C173" t="s">
        <v>2350</v>
      </c>
      <c r="D173" s="375" t="s">
        <v>2352</v>
      </c>
      <c r="E173" s="326" t="s">
        <v>2353</v>
      </c>
    </row>
    <row r="174" spans="1:5" x14ac:dyDescent="0.25">
      <c r="A174" s="181" t="str">
        <f t="shared" si="2"/>
        <v>Przy zastosowaniu nakładanego prowadzenia 29 mm do Metallic line w kombinacji z mechanizmem C3, prowadnice należy przygotować zgodnie z rysunkiem w zakładce Instrukcja</v>
      </c>
      <c r="B174" t="s">
        <v>2349</v>
      </c>
      <c r="C174" t="s">
        <v>2351</v>
      </c>
      <c r="D174" s="24" t="s">
        <v>2354</v>
      </c>
      <c r="E174" s="326" t="s">
        <v>2355</v>
      </c>
    </row>
    <row r="175" spans="1:5" x14ac:dyDescent="0.25">
      <c r="A175" s="181" t="str">
        <f t="shared" si="2"/>
        <v>Koloru Brzoza w profilu E23 nie da się łączyć z prowadzeniem FRAME.</v>
      </c>
      <c r="B175" t="s">
        <v>2744</v>
      </c>
      <c r="C175" s="321" t="s">
        <v>2746</v>
      </c>
      <c r="D175" s="325" t="s">
        <v>2747</v>
      </c>
      <c r="E175" s="326" t="s">
        <v>2748</v>
      </c>
    </row>
    <row r="176" spans="1:5" x14ac:dyDescent="0.25">
      <c r="A176" s="181" t="str">
        <f t="shared" si="2"/>
        <v>Koloru Czereśnia w profilu E23 nie da się łączyć z prowadzeniem FRAME.</v>
      </c>
      <c r="B176" t="s">
        <v>2745</v>
      </c>
      <c r="C176" s="321" t="s">
        <v>2752</v>
      </c>
      <c r="D176" s="325" t="s">
        <v>2753</v>
      </c>
      <c r="E176" s="326" t="s">
        <v>2754</v>
      </c>
    </row>
    <row r="177" spans="1:5" x14ac:dyDescent="0.25">
      <c r="A177" s="181" t="str">
        <f t="shared" si="2"/>
        <v>Koloru Klon w profilu E23 nie da się łączyć z prowadzeniem FRAME.</v>
      </c>
      <c r="B177" t="s">
        <v>2755</v>
      </c>
      <c r="C177" s="321" t="s">
        <v>2749</v>
      </c>
      <c r="D177" s="325" t="s">
        <v>2750</v>
      </c>
      <c r="E177" s="326" t="s">
        <v>2751</v>
      </c>
    </row>
  </sheetData>
  <autoFilter ref="A1:G177" xr:uid="{E8AF29DD-84E6-49A6-A887-3DFC64D9C9C4}"/>
  <sortState xmlns:xlrd2="http://schemas.microsoft.com/office/spreadsheetml/2017/richdata2" ref="B158:B168">
    <sortCondition ref="B158:B168"/>
  </sortState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5">
    <tabColor indexed="17"/>
  </sheetPr>
  <dimension ref="A1:E14"/>
  <sheetViews>
    <sheetView showGridLines="0" workbookViewId="0">
      <selection activeCell="D8" sqref="D8"/>
    </sheetView>
  </sheetViews>
  <sheetFormatPr defaultRowHeight="13.2" x14ac:dyDescent="0.25"/>
  <cols>
    <col min="1" max="1" width="13.6640625" bestFit="1" customWidth="1"/>
  </cols>
  <sheetData>
    <row r="1" spans="1:5" ht="22.8" x14ac:dyDescent="0.4">
      <c r="C1" s="22" t="s">
        <v>90</v>
      </c>
    </row>
    <row r="3" spans="1:5" x14ac:dyDescent="0.25">
      <c r="A3" t="s">
        <v>91</v>
      </c>
    </row>
    <row r="4" spans="1:5" x14ac:dyDescent="0.25">
      <c r="A4" t="s">
        <v>92</v>
      </c>
    </row>
    <row r="6" spans="1:5" x14ac:dyDescent="0.25">
      <c r="A6" t="s">
        <v>93</v>
      </c>
    </row>
    <row r="7" spans="1:5" ht="13.8" thickBot="1" x14ac:dyDescent="0.3"/>
    <row r="8" spans="1:5" ht="18" thickBot="1" x14ac:dyDescent="0.35">
      <c r="A8" s="1" t="s">
        <v>62</v>
      </c>
      <c r="B8" s="1"/>
      <c r="D8" s="25">
        <v>0</v>
      </c>
      <c r="E8" t="s">
        <v>64</v>
      </c>
    </row>
    <row r="9" spans="1:5" ht="17.399999999999999" x14ac:dyDescent="0.3">
      <c r="A9" s="24" t="s">
        <v>94</v>
      </c>
      <c r="B9" s="1"/>
      <c r="D9" s="23"/>
    </row>
    <row r="10" spans="1:5" ht="12.75" customHeight="1" x14ac:dyDescent="0.3">
      <c r="A10" s="1"/>
      <c r="B10" s="1"/>
      <c r="D10" s="23"/>
    </row>
    <row r="11" spans="1:5" ht="12.75" customHeight="1" thickBot="1" x14ac:dyDescent="0.35">
      <c r="A11" s="1"/>
      <c r="B11" s="1"/>
    </row>
    <row r="12" spans="1:5" ht="18" thickBot="1" x14ac:dyDescent="0.35">
      <c r="A12" s="1" t="s">
        <v>66</v>
      </c>
      <c r="B12" s="1"/>
      <c r="D12" s="25">
        <v>0</v>
      </c>
      <c r="E12" t="s">
        <v>64</v>
      </c>
    </row>
    <row r="13" spans="1:5" x14ac:dyDescent="0.25">
      <c r="A13" s="24" t="s">
        <v>95</v>
      </c>
    </row>
    <row r="14" spans="1:5" x14ac:dyDescent="0.25">
      <c r="A14" s="24" t="s">
        <v>96</v>
      </c>
    </row>
  </sheetData>
  <sheetProtection selectLockedCells="1"/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3">
    <tabColor indexed="10"/>
  </sheetPr>
  <dimension ref="A1:H90"/>
  <sheetViews>
    <sheetView topLeftCell="A57" workbookViewId="0">
      <selection activeCell="D13" sqref="D13"/>
    </sheetView>
  </sheetViews>
  <sheetFormatPr defaultRowHeight="13.2" x14ac:dyDescent="0.25"/>
  <cols>
    <col min="1" max="2" width="10.109375" customWidth="1"/>
    <col min="4" max="4" width="13.109375" customWidth="1"/>
    <col min="5" max="5" width="13.5546875" customWidth="1"/>
    <col min="6" max="6" width="13.33203125" customWidth="1"/>
    <col min="7" max="7" width="13.88671875" customWidth="1"/>
    <col min="8" max="8" width="14" customWidth="1"/>
  </cols>
  <sheetData>
    <row r="1" spans="1:7" s="21" customFormat="1" ht="30" x14ac:dyDescent="0.5">
      <c r="D1" s="21" t="s">
        <v>65</v>
      </c>
    </row>
    <row r="3" spans="1:7" ht="30" x14ac:dyDescent="0.5">
      <c r="D3" s="16" t="s">
        <v>49</v>
      </c>
    </row>
    <row r="5" spans="1:7" ht="15.6" x14ac:dyDescent="0.3">
      <c r="A5" s="2" t="s">
        <v>10</v>
      </c>
    </row>
    <row r="6" spans="1:7" ht="6" customHeight="1" thickBot="1" x14ac:dyDescent="0.3"/>
    <row r="7" spans="1:7" ht="12.75" customHeight="1" x14ac:dyDescent="0.25">
      <c r="A7" s="390" t="s">
        <v>0</v>
      </c>
      <c r="B7" s="391"/>
      <c r="C7" s="392"/>
      <c r="D7" s="429" t="s">
        <v>2</v>
      </c>
      <c r="E7" s="429" t="s">
        <v>1</v>
      </c>
      <c r="F7" s="429" t="s">
        <v>4</v>
      </c>
      <c r="G7" s="429" t="s">
        <v>3</v>
      </c>
    </row>
    <row r="8" spans="1:7" ht="12.75" customHeight="1" x14ac:dyDescent="0.25">
      <c r="A8" s="434"/>
      <c r="B8" s="435"/>
      <c r="C8" s="436"/>
      <c r="D8" s="433"/>
      <c r="E8" s="433"/>
      <c r="F8" s="433"/>
      <c r="G8" s="433"/>
    </row>
    <row r="9" spans="1:7" ht="12.75" customHeight="1" thickBot="1" x14ac:dyDescent="0.3">
      <c r="A9" s="393"/>
      <c r="B9" s="394"/>
      <c r="C9" s="395"/>
      <c r="D9" s="430"/>
      <c r="E9" s="430"/>
      <c r="F9" s="430"/>
      <c r="G9" s="430"/>
    </row>
    <row r="10" spans="1:7" x14ac:dyDescent="0.25">
      <c r="A10" s="396" t="s">
        <v>7</v>
      </c>
      <c r="B10" s="397"/>
      <c r="C10" s="397"/>
      <c r="D10" s="6">
        <f>výpočty!D8*výpočty!C33</f>
        <v>0</v>
      </c>
      <c r="E10" s="7">
        <f>výpočty!D9*výpočty!C33</f>
        <v>0</v>
      </c>
      <c r="F10" s="7">
        <f>výpočty!D13*výpočty!C33</f>
        <v>0</v>
      </c>
      <c r="G10" s="7">
        <f>výpočty!D10*výpočty!C33</f>
        <v>0</v>
      </c>
    </row>
    <row r="11" spans="1:7" x14ac:dyDescent="0.25">
      <c r="A11" s="396" t="s">
        <v>8</v>
      </c>
      <c r="B11" s="397"/>
      <c r="C11" s="397"/>
      <c r="D11" s="8">
        <f>výpočty!I8*výpočty!G33</f>
        <v>6.1848480000000006</v>
      </c>
      <c r="E11" s="9">
        <f>výpočty!I9*výpočty!G33</f>
        <v>6.1848480000000006</v>
      </c>
      <c r="F11" s="9" t="e">
        <f>výpočty!I13*výpočty!I49</f>
        <v>#N/A</v>
      </c>
      <c r="G11" s="9">
        <f>výpočty!I10*výpočty!G33</f>
        <v>6.1848480000000006</v>
      </c>
    </row>
    <row r="12" spans="1:7" x14ac:dyDescent="0.25">
      <c r="A12" s="396" t="s">
        <v>9</v>
      </c>
      <c r="B12" s="397"/>
      <c r="C12" s="397"/>
      <c r="D12" s="10">
        <f>výpočty!K8*výpočty!D33+výpočty!E34</f>
        <v>26.406770999999999</v>
      </c>
      <c r="E12" s="9">
        <f>výpočty!K9*výpočty!D33+výpočty!E34</f>
        <v>26.406770999999999</v>
      </c>
      <c r="F12" s="9" t="e">
        <f>výpočty!K13*výpočty!E49+výpočty!F48</f>
        <v>#N/A</v>
      </c>
      <c r="G12" s="9">
        <f>výpočty!K10*výpočty!D33+výpočty!E34</f>
        <v>26.406770999999999</v>
      </c>
    </row>
    <row r="13" spans="1:7" ht="13.8" thickBot="1" x14ac:dyDescent="0.3">
      <c r="A13" s="420" t="s">
        <v>6</v>
      </c>
      <c r="B13" s="420"/>
      <c r="C13" s="421"/>
      <c r="D13" s="11">
        <f>výpočty!G8*výpočty!L33+4*výpočty!N33</f>
        <v>74.646879999999996</v>
      </c>
      <c r="E13" s="12">
        <f>výpočty!G9*výpočty!L34+4*výpočty!N34</f>
        <v>45.276469999999996</v>
      </c>
      <c r="F13" s="12" t="e">
        <f>výpočty!G13*výpočty!L33+výpočty!G14*výpočty!L40+4*výpočty!N40+výpočty!L45+výpočty!G15*výpočty!L44</f>
        <v>#N/A</v>
      </c>
      <c r="G13" s="12">
        <f>výpočty!G10*výpočty!L33+výpočty!G11*výpočty!L35+4*výpočty!N35+výpočty!G12*výpočty!L39</f>
        <v>171.55571</v>
      </c>
    </row>
    <row r="14" spans="1:7" s="1" customFormat="1" ht="18" thickBot="1" x14ac:dyDescent="0.35">
      <c r="A14" s="404" t="s">
        <v>5</v>
      </c>
      <c r="B14" s="405"/>
      <c r="C14" s="406"/>
      <c r="D14" s="13">
        <f>SUM(D10:D13)</f>
        <v>107.23849899999999</v>
      </c>
      <c r="E14" s="13">
        <f>SUM(E10:E13)</f>
        <v>77.868088999999998</v>
      </c>
      <c r="F14" s="13" t="e">
        <f>SUM(F10:F13)</f>
        <v>#N/A</v>
      </c>
      <c r="G14" s="13">
        <f>SUM(G10:G13)</f>
        <v>204.14732900000001</v>
      </c>
    </row>
    <row r="15" spans="1:7" ht="20.25" customHeight="1" x14ac:dyDescent="0.25"/>
    <row r="16" spans="1:7" ht="15.6" x14ac:dyDescent="0.3">
      <c r="A16" s="2" t="s">
        <v>11</v>
      </c>
    </row>
    <row r="17" spans="1:8" ht="6" customHeight="1" thickBot="1" x14ac:dyDescent="0.3"/>
    <row r="18" spans="1:8" ht="12.75" customHeight="1" x14ac:dyDescent="0.25">
      <c r="A18" s="390" t="s">
        <v>0</v>
      </c>
      <c r="B18" s="391"/>
      <c r="C18" s="392"/>
      <c r="D18" s="429" t="s">
        <v>2</v>
      </c>
      <c r="E18" s="429" t="s">
        <v>1</v>
      </c>
      <c r="F18" s="429" t="s">
        <v>4</v>
      </c>
      <c r="G18" s="429" t="s">
        <v>3</v>
      </c>
    </row>
    <row r="19" spans="1:8" ht="12.75" customHeight="1" thickBot="1" x14ac:dyDescent="0.3">
      <c r="A19" s="393"/>
      <c r="B19" s="394"/>
      <c r="C19" s="395"/>
      <c r="D19" s="430"/>
      <c r="E19" s="430"/>
      <c r="F19" s="430"/>
      <c r="G19" s="430"/>
    </row>
    <row r="20" spans="1:8" ht="12.75" customHeight="1" x14ac:dyDescent="0.25">
      <c r="A20" s="396" t="s">
        <v>7</v>
      </c>
      <c r="B20" s="397"/>
      <c r="C20" s="397"/>
      <c r="D20" s="6">
        <f>výpočty!D8*výpočty!C34</f>
        <v>0</v>
      </c>
      <c r="E20" s="7">
        <f>výpočty!D9*výpočty!C34</f>
        <v>0</v>
      </c>
      <c r="F20" s="7">
        <f>výpočty!D13*výpočty!C34</f>
        <v>0</v>
      </c>
      <c r="G20" s="7">
        <f>výpočty!D10*výpočty!C34</f>
        <v>0</v>
      </c>
    </row>
    <row r="21" spans="1:8" ht="13.5" customHeight="1" x14ac:dyDescent="0.25">
      <c r="A21" s="396" t="s">
        <v>8</v>
      </c>
      <c r="B21" s="397"/>
      <c r="C21" s="397"/>
      <c r="D21" s="8">
        <f>výpočty!I8*výpočty!G34</f>
        <v>4.5669880000000003</v>
      </c>
      <c r="E21" s="9">
        <f>výpočty!I9*výpočty!G34</f>
        <v>4.5669880000000003</v>
      </c>
      <c r="F21" s="9">
        <f>výpočty!I13*výpočty!I48</f>
        <v>12.503451999999999</v>
      </c>
      <c r="G21" s="9">
        <f>výpočty!I10*výpočty!G34</f>
        <v>4.5669880000000003</v>
      </c>
    </row>
    <row r="22" spans="1:8" x14ac:dyDescent="0.25">
      <c r="A22" s="396" t="s">
        <v>9</v>
      </c>
      <c r="B22" s="397"/>
      <c r="C22" s="397"/>
      <c r="D22" s="10">
        <f>výpočty!K8*výpočty!D34+výpočty!E34</f>
        <v>25.264606000000001</v>
      </c>
      <c r="E22" s="9">
        <f>výpočty!K9*výpočty!D34+výpočty!E34</f>
        <v>25.264606000000001</v>
      </c>
      <c r="F22" s="9" t="e">
        <f>výpočty!K13*výpočty!E48+výpočty!F48</f>
        <v>#N/A</v>
      </c>
      <c r="G22" s="9">
        <f>výpočty!K10*výpočty!D34+výpočty!E34</f>
        <v>25.264606000000001</v>
      </c>
    </row>
    <row r="23" spans="1:8" ht="13.8" thickBot="1" x14ac:dyDescent="0.3">
      <c r="A23" s="420" t="s">
        <v>6</v>
      </c>
      <c r="B23" s="420"/>
      <c r="C23" s="421"/>
      <c r="D23" s="11">
        <f>výpočty!G8*výpočty!L33+4*výpočty!N33</f>
        <v>74.646879999999996</v>
      </c>
      <c r="E23" s="12">
        <f>výpočty!G9*výpočty!L34+4*výpočty!N34</f>
        <v>45.276469999999996</v>
      </c>
      <c r="F23" s="12">
        <f>výpočty!G13*výpočty!L33+výpočty!G14*výpočty!L41+4*výpočty!N41+výpočty!L45+výpočty!G15*výpočty!L44</f>
        <v>220.142315</v>
      </c>
      <c r="G23" s="12">
        <f>výpočty!G10*výpočty!L33+výpočty!G11*výpočty!L36+4*výpočty!N36+výpočty!G12*výpočty!L39</f>
        <v>157.22593499999999</v>
      </c>
    </row>
    <row r="24" spans="1:8" s="1" customFormat="1" ht="18" thickBot="1" x14ac:dyDescent="0.35">
      <c r="A24" s="404" t="s">
        <v>5</v>
      </c>
      <c r="B24" s="405"/>
      <c r="C24" s="406"/>
      <c r="D24" s="13">
        <f>SUM(D20:D23)</f>
        <v>104.47847400000001</v>
      </c>
      <c r="E24" s="14">
        <f>SUM(E20:E23)</f>
        <v>75.108063999999999</v>
      </c>
      <c r="F24" s="15" t="e">
        <f>SUM(F20:F23)</f>
        <v>#N/A</v>
      </c>
      <c r="G24" s="15">
        <f>SUM(G20:G23)</f>
        <v>187.05752899999999</v>
      </c>
    </row>
    <row r="25" spans="1:8" ht="23.25" customHeight="1" x14ac:dyDescent="0.25"/>
    <row r="26" spans="1:8" ht="15.6" x14ac:dyDescent="0.3">
      <c r="A26" s="2" t="s">
        <v>52</v>
      </c>
    </row>
    <row r="27" spans="1:8" ht="6" customHeight="1" thickBot="1" x14ac:dyDescent="0.3"/>
    <row r="28" spans="1:8" ht="12.75" customHeight="1" x14ac:dyDescent="0.25">
      <c r="A28" s="390" t="s">
        <v>0</v>
      </c>
      <c r="B28" s="391"/>
      <c r="C28" s="392"/>
      <c r="D28" s="429" t="s">
        <v>2</v>
      </c>
      <c r="E28" s="429" t="s">
        <v>1</v>
      </c>
      <c r="F28" s="429" t="s">
        <v>4</v>
      </c>
      <c r="G28" s="429" t="s">
        <v>3</v>
      </c>
      <c r="H28" s="26" t="s">
        <v>4</v>
      </c>
    </row>
    <row r="29" spans="1:8" ht="12.75" customHeight="1" thickBot="1" x14ac:dyDescent="0.3">
      <c r="A29" s="393"/>
      <c r="B29" s="394"/>
      <c r="C29" s="395"/>
      <c r="D29" s="430"/>
      <c r="E29" s="430"/>
      <c r="F29" s="430"/>
      <c r="G29" s="430"/>
      <c r="H29" s="27" t="s">
        <v>436</v>
      </c>
    </row>
    <row r="30" spans="1:8" x14ac:dyDescent="0.25">
      <c r="A30" s="396" t="s">
        <v>7</v>
      </c>
      <c r="B30" s="397"/>
      <c r="C30" s="397"/>
      <c r="D30" s="6">
        <f>výpočty!O8*výpočty!C35+výpočty!M8*výpočty!F33</f>
        <v>0</v>
      </c>
      <c r="E30" s="6">
        <f>výpočty!O9*výpočty!C35+výpočty!F33*výpočty!M9</f>
        <v>0</v>
      </c>
      <c r="F30" s="6">
        <f>výpočty!O13*výpočty!C35+výpočty!F33*výpočty!M13</f>
        <v>0.60260999999999998</v>
      </c>
      <c r="G30" s="6">
        <f>výpočty!O10*výpočty!C35+výpočty!F33*výpočty!M10</f>
        <v>0</v>
      </c>
      <c r="H30">
        <f>výpočty!O13*výpočty!C36+výpočty!F33*výpočty!M13</f>
        <v>0.60260999999999998</v>
      </c>
    </row>
    <row r="31" spans="1:8" x14ac:dyDescent="0.25">
      <c r="A31" s="396" t="s">
        <v>8</v>
      </c>
      <c r="B31" s="397"/>
      <c r="C31" s="397"/>
      <c r="D31" s="8">
        <f>výpočty!I8*výpočty!G35</f>
        <v>11.481813000000001</v>
      </c>
      <c r="E31" s="8">
        <f>výpočty!I9*výpočty!G35</f>
        <v>11.481813000000001</v>
      </c>
      <c r="F31" s="8">
        <f>výpočty!I13*výpočty!G40</f>
        <v>18.537687000000002</v>
      </c>
      <c r="G31" s="8">
        <f>výpočty!I10*výpočty!G35</f>
        <v>11.481813000000001</v>
      </c>
      <c r="H31">
        <f>výpočty!I13*výpočty!G41</f>
        <v>25.591313</v>
      </c>
    </row>
    <row r="32" spans="1:8" x14ac:dyDescent="0.25">
      <c r="A32" s="396" t="s">
        <v>9</v>
      </c>
      <c r="B32" s="397"/>
      <c r="C32" s="397"/>
      <c r="D32" s="8">
        <f>výpočty!K8*výpočty!D35+výpočty!E59</f>
        <v>26.291857</v>
      </c>
      <c r="E32" s="8">
        <f>výpočty!K9*výpočty!D35+výpočty!E59</f>
        <v>26.291857</v>
      </c>
      <c r="F32" s="8">
        <f>výpočty!N14*výpočty!D40+výpočty!E40</f>
        <v>26.291857</v>
      </c>
      <c r="G32" s="8">
        <f>výpočty!K10*výpočty!D35+výpočty!E59</f>
        <v>26.291857</v>
      </c>
      <c r="H32">
        <f>výpočty!N14*výpočty!D41+výpočty!E40</f>
        <v>32.191794999999999</v>
      </c>
    </row>
    <row r="33" spans="1:8" ht="13.8" thickBot="1" x14ac:dyDescent="0.3">
      <c r="A33" s="420" t="s">
        <v>6</v>
      </c>
      <c r="B33" s="420"/>
      <c r="C33" s="421"/>
      <c r="D33" s="3">
        <f>výpočty!G8*výpočty!L33+4*výpočty!N33</f>
        <v>74.646879999999996</v>
      </c>
      <c r="E33" s="4">
        <f>výpočty!G9*výpočty!L34+4*výpočty!N34</f>
        <v>45.276469999999996</v>
      </c>
      <c r="F33" s="3">
        <f>výpočty!G13*výpočty!L33+výpočty!G14*výpočty!L42+4*výpočty!N42+výpočty!L45+výpočty!G15*výpočty!L44</f>
        <v>322.74766499999998</v>
      </c>
      <c r="G33" s="5">
        <f>výpočty!G10*výpočty!L33+výpočty!G11*výpočty!L37+4*výpočty!N37+výpočty!G12*výpočty!L39</f>
        <v>241.58213499999999</v>
      </c>
      <c r="H33">
        <f>výpočty!G13*výpočty!L33+výpočty!G14*výpočty!L43+4*výpočty!N43+výpočty!L45+výpočty!G15*výpočty!L44</f>
        <v>448.02091499999995</v>
      </c>
    </row>
    <row r="34" spans="1:8" s="1" customFormat="1" ht="18" thickBot="1" x14ac:dyDescent="0.35">
      <c r="A34" s="404" t="s">
        <v>5</v>
      </c>
      <c r="B34" s="405"/>
      <c r="C34" s="406"/>
      <c r="D34" s="13">
        <f>SUM(D30:D33)</f>
        <v>112.42054999999999</v>
      </c>
      <c r="E34" s="13">
        <f>SUM(E30:E33)</f>
        <v>83.050139999999999</v>
      </c>
      <c r="F34" s="13">
        <f>SUM(F30:F33)</f>
        <v>368.17981899999995</v>
      </c>
      <c r="G34" s="13">
        <f>SUM(G30:G33)</f>
        <v>279.35580499999998</v>
      </c>
      <c r="H34" s="13">
        <f>SUM(H30:H33)</f>
        <v>506.40663299999994</v>
      </c>
    </row>
    <row r="36" spans="1:8" ht="15.6" x14ac:dyDescent="0.3">
      <c r="A36" s="2" t="s">
        <v>53</v>
      </c>
    </row>
    <row r="37" spans="1:8" ht="6" customHeight="1" thickBot="1" x14ac:dyDescent="0.3"/>
    <row r="38" spans="1:8" ht="12.75" customHeight="1" x14ac:dyDescent="0.25">
      <c r="A38" s="390" t="s">
        <v>0</v>
      </c>
      <c r="B38" s="391"/>
      <c r="C38" s="392"/>
      <c r="D38" s="429" t="s">
        <v>2</v>
      </c>
      <c r="E38" s="429" t="s">
        <v>1</v>
      </c>
      <c r="F38" s="431" t="s">
        <v>389</v>
      </c>
      <c r="G38" s="431" t="s">
        <v>388</v>
      </c>
      <c r="H38" s="429" t="s">
        <v>3</v>
      </c>
    </row>
    <row r="39" spans="1:8" ht="12.75" customHeight="1" thickBot="1" x14ac:dyDescent="0.3">
      <c r="A39" s="393"/>
      <c r="B39" s="394"/>
      <c r="C39" s="395"/>
      <c r="D39" s="430"/>
      <c r="E39" s="430"/>
      <c r="F39" s="432"/>
      <c r="G39" s="432"/>
      <c r="H39" s="430"/>
    </row>
    <row r="40" spans="1:8" ht="13.8" thickBot="1" x14ac:dyDescent="0.3">
      <c r="A40" s="396" t="s">
        <v>7</v>
      </c>
      <c r="B40" s="397"/>
      <c r="C40" s="397"/>
      <c r="D40" s="6">
        <f>výpočty!O8*výpočty!C36+výpočty!F33*výpočty!M8</f>
        <v>0</v>
      </c>
      <c r="E40" s="6">
        <f>výpočty!O9*výpočty!C36+výpočty!F33*výpočty!M9</f>
        <v>0</v>
      </c>
      <c r="F40" s="19">
        <f>výpočty!O16*výpočty!C36+výpočty!F33*výpočty!M16</f>
        <v>9.0391499999999994</v>
      </c>
      <c r="G40" s="19">
        <f>výpočty!O16*výpočty!C35+výpočty!F33*výpočty!M16</f>
        <v>9.0391499999999994</v>
      </c>
      <c r="H40" s="19">
        <f>výpočty!O8*výpočty!C36+výpočty!F33*výpočty!M8</f>
        <v>0</v>
      </c>
    </row>
    <row r="41" spans="1:8" ht="13.8" thickBot="1" x14ac:dyDescent="0.3">
      <c r="A41" s="396" t="s">
        <v>8</v>
      </c>
      <c r="B41" s="397"/>
      <c r="C41" s="397"/>
      <c r="D41" s="8">
        <f>výpočty!I8*výpočty!G36</f>
        <v>25.591313</v>
      </c>
      <c r="E41" s="8">
        <f>výpočty!I9*výpočty!G36</f>
        <v>25.591313</v>
      </c>
      <c r="F41" s="19">
        <f>výpočty!I13*výpočty!G41</f>
        <v>25.591313</v>
      </c>
      <c r="G41" s="19">
        <f>výpočty!I13*výpočty!G40</f>
        <v>18.537687000000002</v>
      </c>
      <c r="H41" s="19">
        <f>výpočty!I8*výpočty!G36</f>
        <v>25.591313</v>
      </c>
    </row>
    <row r="42" spans="1:8" ht="13.8" thickBot="1" x14ac:dyDescent="0.3">
      <c r="A42" s="396" t="s">
        <v>9</v>
      </c>
      <c r="B42" s="397"/>
      <c r="C42" s="397"/>
      <c r="D42" s="8">
        <f>výpočty!K8*výpočty!D36+výpočty!E60</f>
        <v>32.191794999999999</v>
      </c>
      <c r="E42" s="8">
        <f>výpočty!K9*výpočty!D36+výpočty!E60</f>
        <v>32.191794999999999</v>
      </c>
      <c r="F42" s="19">
        <f>výpočty!N14*výpočty!D41+výpočty!E40</f>
        <v>32.191794999999999</v>
      </c>
      <c r="G42" s="19">
        <f>výpočty!N14*výpočty!D40+výpočty!E40</f>
        <v>26.291857</v>
      </c>
      <c r="H42" s="19">
        <f>výpočty!K8*výpočty!D36+výpočty!E60</f>
        <v>32.191794999999999</v>
      </c>
    </row>
    <row r="43" spans="1:8" ht="13.8" thickBot="1" x14ac:dyDescent="0.3">
      <c r="A43" s="420" t="s">
        <v>6</v>
      </c>
      <c r="B43" s="420"/>
      <c r="C43" s="421"/>
      <c r="D43" s="3">
        <f>výpočty!G8*výpočty!L33+4*výpočty!N33</f>
        <v>74.646879999999996</v>
      </c>
      <c r="E43" s="4">
        <f>výpočty!G9*výpočty!L34+4*výpočty!N34</f>
        <v>45.276469999999996</v>
      </c>
      <c r="F43" s="19">
        <f>výpočty!C44+výpočty!G16*výpočty!D43</f>
        <v>100.30852</v>
      </c>
      <c r="G43" s="19">
        <f>výpočty!C44+výpočty!G16*výpočty!C43</f>
        <v>91.68817</v>
      </c>
      <c r="H43" s="19">
        <f>výpočty!G10*výpočty!L33+výpočty!G11*výpočty!L38+4*výpočty!N37+výpočty!G12*výpočty!L39</f>
        <v>340.68933499999997</v>
      </c>
    </row>
    <row r="44" spans="1:8" s="1" customFormat="1" ht="18" thickBot="1" x14ac:dyDescent="0.35">
      <c r="A44" s="404" t="s">
        <v>5</v>
      </c>
      <c r="B44" s="405"/>
      <c r="C44" s="406"/>
      <c r="D44" s="13">
        <f>SUM(D40:D43)</f>
        <v>132.42998799999998</v>
      </c>
      <c r="E44" s="13">
        <f>SUM(E40:E43)</f>
        <v>103.05957799999999</v>
      </c>
      <c r="F44" s="20">
        <f>SUM(F40:F43)</f>
        <v>167.13077800000002</v>
      </c>
      <c r="G44" s="20">
        <f>SUM(G40:G43)</f>
        <v>145.55686400000002</v>
      </c>
      <c r="H44" s="20">
        <f>SUM(H40:H43)</f>
        <v>398.472443</v>
      </c>
    </row>
    <row r="50" spans="1:7" ht="30" x14ac:dyDescent="0.5">
      <c r="D50" s="16" t="s">
        <v>54</v>
      </c>
    </row>
    <row r="52" spans="1:7" ht="15.6" x14ac:dyDescent="0.3">
      <c r="A52" s="2" t="s">
        <v>10</v>
      </c>
    </row>
    <row r="53" spans="1:7" ht="6" customHeight="1" thickBot="1" x14ac:dyDescent="0.3"/>
    <row r="54" spans="1:7" ht="12.75" customHeight="1" x14ac:dyDescent="0.25">
      <c r="A54" s="390" t="s">
        <v>0</v>
      </c>
      <c r="B54" s="391"/>
      <c r="C54" s="392"/>
      <c r="D54" s="429" t="s">
        <v>2</v>
      </c>
      <c r="E54" s="429" t="s">
        <v>1</v>
      </c>
      <c r="F54" s="429" t="s">
        <v>4</v>
      </c>
      <c r="G54" s="429" t="s">
        <v>3</v>
      </c>
    </row>
    <row r="55" spans="1:7" ht="12.75" customHeight="1" thickBot="1" x14ac:dyDescent="0.3">
      <c r="A55" s="393"/>
      <c r="B55" s="394"/>
      <c r="C55" s="395"/>
      <c r="D55" s="430"/>
      <c r="E55" s="430"/>
      <c r="F55" s="430"/>
      <c r="G55" s="430"/>
    </row>
    <row r="56" spans="1:7" x14ac:dyDescent="0.25">
      <c r="A56" s="396" t="s">
        <v>7</v>
      </c>
      <c r="B56" s="397"/>
      <c r="C56" s="397"/>
      <c r="D56" s="6">
        <f>výpočty!D20*výpočty!C33</f>
        <v>0</v>
      </c>
      <c r="E56" s="7">
        <f>výpočty!D21*výpočty!C33</f>
        <v>0</v>
      </c>
      <c r="F56" s="7">
        <f>výpočty!D25*výpočty!C33</f>
        <v>0</v>
      </c>
      <c r="G56" s="7">
        <f>výpočty!D22*výpočty!C33</f>
        <v>0</v>
      </c>
    </row>
    <row r="57" spans="1:7" x14ac:dyDescent="0.25">
      <c r="A57" s="396" t="s">
        <v>8</v>
      </c>
      <c r="B57" s="397"/>
      <c r="C57" s="397"/>
      <c r="D57" s="8">
        <f>výpočty!I20*výpočty!G33</f>
        <v>6.1848480000000006</v>
      </c>
      <c r="E57" s="9">
        <f>výpočty!I21*výpočty!G33</f>
        <v>6.1848480000000006</v>
      </c>
      <c r="F57" s="9" t="e">
        <f>výpočty!I25*výpočty!I49</f>
        <v>#N/A</v>
      </c>
      <c r="G57" s="9">
        <f>výpočty!I22*výpočty!G33</f>
        <v>6.1848480000000006</v>
      </c>
    </row>
    <row r="58" spans="1:7" x14ac:dyDescent="0.25">
      <c r="A58" s="396" t="s">
        <v>9</v>
      </c>
      <c r="B58" s="397"/>
      <c r="C58" s="397"/>
      <c r="D58" s="10">
        <f>výpočty!K20*výpočty!D33+výpočty!E33</f>
        <v>16.558481</v>
      </c>
      <c r="E58" s="9">
        <f>výpočty!K21*výpočty!D33+výpočty!E33</f>
        <v>16.558481</v>
      </c>
      <c r="F58" s="9" t="e">
        <f>výpočty!K25*výpočty!E49+výpočty!F48</f>
        <v>#N/A</v>
      </c>
      <c r="G58" s="9">
        <f>výpočty!K22*výpočty!D33+výpočty!E33</f>
        <v>16.558481</v>
      </c>
    </row>
    <row r="59" spans="1:7" ht="13.8" thickBot="1" x14ac:dyDescent="0.3">
      <c r="A59" s="420" t="s">
        <v>6</v>
      </c>
      <c r="B59" s="420"/>
      <c r="C59" s="421"/>
      <c r="D59" s="11">
        <f>výpočty!G20*výpočty!L33+4*výpočty!N33</f>
        <v>74.646879999999996</v>
      </c>
      <c r="E59" s="12">
        <f>výpočty!G21*výpočty!L34+4*výpočty!N34</f>
        <v>45.276469999999996</v>
      </c>
      <c r="F59" s="12" t="e">
        <f>výpočty!G25*výpočty!L33+výpočty!G26*výpočty!L40+4*výpočty!N40+výpočty!L45+výpočty!G27*výpočty!L44</f>
        <v>#N/A</v>
      </c>
      <c r="G59" s="12">
        <f>výpočty!G22*výpočty!L33+výpočty!G23*výpočty!L35+4*výpočty!N35+výpočty!G24*výpočty!L39</f>
        <v>171.55571</v>
      </c>
    </row>
    <row r="60" spans="1:7" s="1" customFormat="1" ht="18" thickBot="1" x14ac:dyDescent="0.35">
      <c r="A60" s="404" t="s">
        <v>5</v>
      </c>
      <c r="B60" s="405"/>
      <c r="C60" s="406"/>
      <c r="D60" s="13">
        <f>SUM(D56:D59)</f>
        <v>97.390208999999999</v>
      </c>
      <c r="E60" s="13">
        <f>SUM(E56:E59)</f>
        <v>68.019799000000006</v>
      </c>
      <c r="F60" s="13" t="e">
        <f>SUM(F56:F59)</f>
        <v>#N/A</v>
      </c>
      <c r="G60" s="13">
        <f>SUM(G56:G59)</f>
        <v>194.29903899999999</v>
      </c>
    </row>
    <row r="61" spans="1:7" ht="20.25" customHeight="1" x14ac:dyDescent="0.25"/>
    <row r="62" spans="1:7" ht="15.6" x14ac:dyDescent="0.3">
      <c r="A62" s="2" t="s">
        <v>11</v>
      </c>
    </row>
    <row r="63" spans="1:7" ht="6" customHeight="1" thickBot="1" x14ac:dyDescent="0.3"/>
    <row r="64" spans="1:7" ht="12.75" customHeight="1" x14ac:dyDescent="0.25">
      <c r="A64" s="390" t="s">
        <v>0</v>
      </c>
      <c r="B64" s="391"/>
      <c r="C64" s="392"/>
      <c r="D64" s="429" t="s">
        <v>2</v>
      </c>
      <c r="E64" s="429" t="s">
        <v>1</v>
      </c>
      <c r="F64" s="429" t="s">
        <v>4</v>
      </c>
      <c r="G64" s="429" t="s">
        <v>3</v>
      </c>
    </row>
    <row r="65" spans="1:8" ht="12.75" customHeight="1" thickBot="1" x14ac:dyDescent="0.3">
      <c r="A65" s="393"/>
      <c r="B65" s="394"/>
      <c r="C65" s="395"/>
      <c r="D65" s="430"/>
      <c r="E65" s="430"/>
      <c r="F65" s="430"/>
      <c r="G65" s="430"/>
    </row>
    <row r="66" spans="1:8" x14ac:dyDescent="0.25">
      <c r="A66" s="396" t="s">
        <v>7</v>
      </c>
      <c r="B66" s="397"/>
      <c r="C66" s="397"/>
      <c r="D66" s="6">
        <f>výpočty!D20*výpočty!C34</f>
        <v>0</v>
      </c>
      <c r="E66" s="7">
        <f>výpočty!D21*výpočty!C34</f>
        <v>0</v>
      </c>
      <c r="F66" s="7">
        <f>výpočty!D25*výpočty!C34</f>
        <v>0</v>
      </c>
      <c r="G66" s="7">
        <f>výpočty!D22*výpočty!C34</f>
        <v>0</v>
      </c>
    </row>
    <row r="67" spans="1:8" x14ac:dyDescent="0.25">
      <c r="A67" s="396" t="s">
        <v>8</v>
      </c>
      <c r="B67" s="397"/>
      <c r="C67" s="397"/>
      <c r="D67" s="8">
        <f>výpočty!I20*výpočty!G34</f>
        <v>4.5669880000000003</v>
      </c>
      <c r="E67" s="9">
        <f>výpočty!I21*výpočty!G34</f>
        <v>4.5669880000000003</v>
      </c>
      <c r="F67" s="9">
        <f>výpočty!I25*výpočty!I48</f>
        <v>12.503451999999999</v>
      </c>
      <c r="G67" s="9">
        <f>výpočty!I22*výpočty!G34</f>
        <v>4.5669880000000003</v>
      </c>
    </row>
    <row r="68" spans="1:8" x14ac:dyDescent="0.25">
      <c r="A68" s="396" t="s">
        <v>9</v>
      </c>
      <c r="B68" s="397"/>
      <c r="C68" s="397"/>
      <c r="D68" s="10">
        <f>výpočty!K20*výpočty!D34+výpočty!E33</f>
        <v>15.416316000000002</v>
      </c>
      <c r="E68" s="9">
        <f>výpočty!K21*výpočty!D34+výpočty!E33</f>
        <v>15.416316000000002</v>
      </c>
      <c r="F68" s="9" t="e">
        <f>výpočty!K25*výpočty!E48+výpočty!F48</f>
        <v>#N/A</v>
      </c>
      <c r="G68" s="9">
        <f>výpočty!K22*výpočty!D34+výpočty!E33</f>
        <v>15.416316000000002</v>
      </c>
    </row>
    <row r="69" spans="1:8" ht="13.8" thickBot="1" x14ac:dyDescent="0.3">
      <c r="A69" s="420" t="s">
        <v>6</v>
      </c>
      <c r="B69" s="420"/>
      <c r="C69" s="421"/>
      <c r="D69" s="11">
        <f>výpočty!G20*výpočty!L33+4*výpočty!N33</f>
        <v>74.646879999999996</v>
      </c>
      <c r="E69" s="12">
        <f>výpočty!G21*výpočty!L34+4*výpočty!N34</f>
        <v>45.276469999999996</v>
      </c>
      <c r="F69" s="12">
        <f>výpočty!G25*výpočty!L33+výpočty!G26*výpočty!L41+4*výpočty!N41+výpočty!L45+výpočty!G27*výpočty!L44</f>
        <v>220.142315</v>
      </c>
      <c r="G69" s="12">
        <f>výpočty!G22*výpočty!L33+výpočty!G23*výpočty!L36+4*výpočty!N36+výpočty!G24*výpočty!L39</f>
        <v>157.22593499999999</v>
      </c>
    </row>
    <row r="70" spans="1:8" s="1" customFormat="1" ht="18" thickBot="1" x14ac:dyDescent="0.35">
      <c r="A70" s="404" t="s">
        <v>5</v>
      </c>
      <c r="B70" s="405"/>
      <c r="C70" s="406"/>
      <c r="D70" s="13">
        <f>SUM(D66:D69)</f>
        <v>94.630184</v>
      </c>
      <c r="E70" s="14">
        <f>SUM(E66:E69)</f>
        <v>65.259773999999993</v>
      </c>
      <c r="F70" s="15" t="e">
        <f>SUM(F66:F69)</f>
        <v>#N/A</v>
      </c>
      <c r="G70" s="15">
        <f>SUM(G66:G69)</f>
        <v>177.209239</v>
      </c>
    </row>
    <row r="71" spans="1:8" ht="23.25" customHeight="1" x14ac:dyDescent="0.25"/>
    <row r="72" spans="1:8" ht="15.6" x14ac:dyDescent="0.3">
      <c r="A72" s="2" t="s">
        <v>52</v>
      </c>
    </row>
    <row r="73" spans="1:8" ht="6" customHeight="1" thickBot="1" x14ac:dyDescent="0.3"/>
    <row r="74" spans="1:8" ht="12.75" customHeight="1" x14ac:dyDescent="0.25">
      <c r="A74" s="390" t="s">
        <v>0</v>
      </c>
      <c r="B74" s="391"/>
      <c r="C74" s="392"/>
      <c r="D74" s="429" t="s">
        <v>2</v>
      </c>
      <c r="E74" s="429" t="s">
        <v>1</v>
      </c>
      <c r="F74" s="429" t="s">
        <v>4</v>
      </c>
      <c r="G74" s="429" t="s">
        <v>3</v>
      </c>
      <c r="H74" s="26" t="s">
        <v>4</v>
      </c>
    </row>
    <row r="75" spans="1:8" ht="12.75" customHeight="1" thickBot="1" x14ac:dyDescent="0.3">
      <c r="A75" s="393"/>
      <c r="B75" s="394"/>
      <c r="C75" s="395"/>
      <c r="D75" s="430"/>
      <c r="E75" s="430"/>
      <c r="F75" s="430"/>
      <c r="G75" s="430"/>
      <c r="H75" s="27" t="s">
        <v>436</v>
      </c>
    </row>
    <row r="76" spans="1:8" x14ac:dyDescent="0.25">
      <c r="A76" s="396" t="s">
        <v>7</v>
      </c>
      <c r="B76" s="397"/>
      <c r="C76" s="397"/>
      <c r="D76" s="6">
        <f>výpočty!O20*výpočty!C35+výpočty!F33*výpočty!M20</f>
        <v>0</v>
      </c>
      <c r="E76" s="6">
        <f>výpočty!O21*výpočty!C35+výpočty!F33*výpočty!M21</f>
        <v>0</v>
      </c>
      <c r="F76" s="6">
        <f>výpočty!O25*výpočty!C35+výpočty!F33*výpočty!M25</f>
        <v>0.60260999999999998</v>
      </c>
      <c r="G76" s="6">
        <f>výpočty!O22*výpočty!C35+výpočty!F33*výpočty!M22</f>
        <v>0</v>
      </c>
      <c r="H76">
        <f>výpočty!O25*výpočty!C36+výpočty!F33*výpočty!M25</f>
        <v>0.60260999999999998</v>
      </c>
    </row>
    <row r="77" spans="1:8" x14ac:dyDescent="0.25">
      <c r="A77" s="396" t="s">
        <v>8</v>
      </c>
      <c r="B77" s="397"/>
      <c r="C77" s="397"/>
      <c r="D77" s="8">
        <f>výpočty!I20*výpočty!G35</f>
        <v>11.481813000000001</v>
      </c>
      <c r="E77" s="8">
        <f>výpočty!I21*výpočty!G35</f>
        <v>11.481813000000001</v>
      </c>
      <c r="F77" s="8">
        <f>výpočty!I25*výpočty!G40</f>
        <v>18.537687000000002</v>
      </c>
      <c r="G77" s="8">
        <f>výpočty!I22*výpočty!G35</f>
        <v>11.481813000000001</v>
      </c>
      <c r="H77">
        <f>výpočty!I25*výpočty!G41</f>
        <v>25.591313</v>
      </c>
    </row>
    <row r="78" spans="1:8" x14ac:dyDescent="0.25">
      <c r="A78" s="396" t="s">
        <v>9</v>
      </c>
      <c r="B78" s="397"/>
      <c r="C78" s="397"/>
      <c r="D78" s="8">
        <f>výpočty!K20*výpočty!D35+výpočty!E59</f>
        <v>26.291857</v>
      </c>
      <c r="E78" s="8">
        <f>výpočty!K21*výpočty!D35+výpočty!E59</f>
        <v>26.291857</v>
      </c>
      <c r="F78" s="8">
        <f>výpočty!N26*výpočty!D40+výpočty!E40</f>
        <v>26.291857</v>
      </c>
      <c r="G78" s="8">
        <f>výpočty!K22*výpočty!D35+výpočty!E59</f>
        <v>26.291857</v>
      </c>
      <c r="H78">
        <f>výpočty!N26*výpočty!D41+výpočty!E40</f>
        <v>32.191794999999999</v>
      </c>
    </row>
    <row r="79" spans="1:8" ht="13.8" thickBot="1" x14ac:dyDescent="0.3">
      <c r="A79" s="420" t="s">
        <v>6</v>
      </c>
      <c r="B79" s="420"/>
      <c r="C79" s="421"/>
      <c r="D79" s="3">
        <f>výpočty!G20*výpočty!L33+4*výpočty!N33</f>
        <v>74.646879999999996</v>
      </c>
      <c r="E79" s="4">
        <f>výpočty!G21*výpočty!L34+4*výpočty!N34</f>
        <v>45.276469999999996</v>
      </c>
      <c r="F79" s="3">
        <f>výpočty!G25*výpočty!L33+výpočty!G26*výpočty!L42+4*výpočty!N42+výpočty!L45+výpočty!G27*výpočty!L44</f>
        <v>322.74766499999998</v>
      </c>
      <c r="G79" s="5">
        <f>výpočty!G22*výpočty!L33+výpočty!G23*výpočty!L37+4*výpočty!N37+výpočty!G24*výpočty!L39</f>
        <v>241.58213499999999</v>
      </c>
      <c r="H79">
        <f>výpočty!G25*výpočty!L33+výpočty!G26*výpočty!L43+4*výpočty!N42+výpočty!L45+výpočty!G27*výpočty!L44</f>
        <v>448.02091499999995</v>
      </c>
    </row>
    <row r="80" spans="1:8" s="1" customFormat="1" ht="18" thickBot="1" x14ac:dyDescent="0.35">
      <c r="A80" s="404" t="s">
        <v>5</v>
      </c>
      <c r="B80" s="405"/>
      <c r="C80" s="406"/>
      <c r="D80" s="13">
        <f>SUM(D76:D79)</f>
        <v>112.42054999999999</v>
      </c>
      <c r="E80" s="13">
        <f>SUM(E76:E79)</f>
        <v>83.050139999999999</v>
      </c>
      <c r="F80" s="13">
        <f>SUM(F76:F79)</f>
        <v>368.17981899999995</v>
      </c>
      <c r="G80" s="13">
        <f>SUM(G76:G79)</f>
        <v>279.35580499999998</v>
      </c>
      <c r="H80" s="13">
        <f>SUM(H76:H79)</f>
        <v>506.40663299999994</v>
      </c>
    </row>
    <row r="82" spans="1:8" ht="15.6" x14ac:dyDescent="0.3">
      <c r="A82" s="2" t="s">
        <v>53</v>
      </c>
    </row>
    <row r="83" spans="1:8" ht="6" customHeight="1" thickBot="1" x14ac:dyDescent="0.3"/>
    <row r="84" spans="1:8" ht="12.75" customHeight="1" x14ac:dyDescent="0.25">
      <c r="A84" s="390" t="s">
        <v>0</v>
      </c>
      <c r="B84" s="391"/>
      <c r="C84" s="392"/>
      <c r="D84" s="429" t="s">
        <v>2</v>
      </c>
      <c r="E84" s="429" t="s">
        <v>1</v>
      </c>
      <c r="F84" s="431" t="s">
        <v>389</v>
      </c>
      <c r="G84" s="431" t="s">
        <v>388</v>
      </c>
      <c r="H84" s="429" t="s">
        <v>3</v>
      </c>
    </row>
    <row r="85" spans="1:8" ht="12.75" customHeight="1" thickBot="1" x14ac:dyDescent="0.3">
      <c r="A85" s="393"/>
      <c r="B85" s="394"/>
      <c r="C85" s="395"/>
      <c r="D85" s="430"/>
      <c r="E85" s="430"/>
      <c r="F85" s="432"/>
      <c r="G85" s="432"/>
      <c r="H85" s="430"/>
    </row>
    <row r="86" spans="1:8" ht="13.8" thickBot="1" x14ac:dyDescent="0.3">
      <c r="A86" s="396" t="s">
        <v>7</v>
      </c>
      <c r="B86" s="397"/>
      <c r="C86" s="397"/>
      <c r="D86" s="6">
        <f>výpočty!O20*výpočty!C36+výpočty!F33*výpočty!M20</f>
        <v>0</v>
      </c>
      <c r="E86" s="6">
        <f>výpočty!O21*výpočty!C36+výpočty!F33*výpočty!M21</f>
        <v>0</v>
      </c>
      <c r="F86" s="19">
        <f>výpočty!O25*výpočty!C36+výpočty!F33*výpočty!M25</f>
        <v>0.60260999999999998</v>
      </c>
      <c r="G86" s="19">
        <f>výpočty!O25*výpočty!C35+výpočty!F33*výpočty!M25</f>
        <v>0.60260999999999998</v>
      </c>
      <c r="H86" s="19">
        <f>výpočty!O20*výpočty!C36+výpočty!F33*výpočty!M20</f>
        <v>0</v>
      </c>
    </row>
    <row r="87" spans="1:8" ht="13.8" thickBot="1" x14ac:dyDescent="0.3">
      <c r="A87" s="396" t="s">
        <v>8</v>
      </c>
      <c r="B87" s="397"/>
      <c r="C87" s="397"/>
      <c r="D87" s="8">
        <f>výpočty!I20*výpočty!G36</f>
        <v>25.591313</v>
      </c>
      <c r="E87" s="8">
        <f>výpočty!I21*výpočty!G36</f>
        <v>25.591313</v>
      </c>
      <c r="F87" s="19">
        <f>výpočty!I25*výpočty!G41</f>
        <v>25.591313</v>
      </c>
      <c r="G87" s="19">
        <f>výpočty!I25*výpočty!G40</f>
        <v>18.537687000000002</v>
      </c>
      <c r="H87" s="19">
        <f>výpočty!I20*výpočty!G36</f>
        <v>25.591313</v>
      </c>
    </row>
    <row r="88" spans="1:8" ht="13.8" thickBot="1" x14ac:dyDescent="0.3">
      <c r="A88" s="396" t="s">
        <v>9</v>
      </c>
      <c r="B88" s="397"/>
      <c r="C88" s="397"/>
      <c r="D88" s="8">
        <f>výpočty!K20*výpočty!D36+výpočty!E60</f>
        <v>32.191794999999999</v>
      </c>
      <c r="E88" s="8">
        <f>výpočty!K21*výpočty!D36+výpočty!E60</f>
        <v>32.191794999999999</v>
      </c>
      <c r="F88" s="19">
        <f>výpočty!N26*výpočty!D41+výpočty!E40</f>
        <v>32.191794999999999</v>
      </c>
      <c r="G88" s="19">
        <f>výpočty!N26*výpočty!D40+výpočty!E40</f>
        <v>26.291857</v>
      </c>
      <c r="H88" s="19">
        <f>výpočty!K20*výpočty!D36+výpočty!E60</f>
        <v>32.191794999999999</v>
      </c>
    </row>
    <row r="89" spans="1:8" ht="13.8" thickBot="1" x14ac:dyDescent="0.3">
      <c r="A89" s="420" t="s">
        <v>6</v>
      </c>
      <c r="B89" s="420"/>
      <c r="C89" s="421"/>
      <c r="D89" s="3">
        <f>výpočty!G20*výpočty!L33+4*výpočty!N33</f>
        <v>74.646879999999996</v>
      </c>
      <c r="E89" s="4">
        <f>výpočty!G21*výpočty!L34+4*výpočty!N34</f>
        <v>45.276469999999996</v>
      </c>
      <c r="F89" s="19">
        <f>výpočty!G25*výpočty!L33+4*výpočty!N42+výpočty!C44+výpočty!G27*výpočty!D43</f>
        <v>178.22048000000001</v>
      </c>
      <c r="G89" s="19">
        <f>výpočty!G25*výpočty!L33+4*výpočty!N42+výpočty!C44+výpočty!G27*výpočty!C43</f>
        <v>169.60012999999998</v>
      </c>
      <c r="H89" s="19">
        <f>výpočty!G22*výpočty!L33+výpočty!G23*výpočty!L38+4*výpočty!N37+výpočty!G24*výpočty!L39</f>
        <v>340.68933499999997</v>
      </c>
    </row>
    <row r="90" spans="1:8" s="1" customFormat="1" ht="18" thickBot="1" x14ac:dyDescent="0.35">
      <c r="A90" s="404" t="s">
        <v>5</v>
      </c>
      <c r="B90" s="405"/>
      <c r="C90" s="406"/>
      <c r="D90" s="13">
        <f>SUM(D86:D89)</f>
        <v>132.42998799999998</v>
      </c>
      <c r="E90" s="13">
        <f>SUM(E86:E89)</f>
        <v>103.05957799999999</v>
      </c>
      <c r="F90" s="20">
        <f>SUM(F86:F89)</f>
        <v>236.60619800000001</v>
      </c>
      <c r="G90" s="20">
        <f>SUM(G86:G89)</f>
        <v>215.03228399999998</v>
      </c>
      <c r="H90" s="20">
        <f>SUM(H86:H89)</f>
        <v>398.472443</v>
      </c>
    </row>
  </sheetData>
  <sheetProtection selectLockedCells="1" selectUnlockedCells="1"/>
  <mergeCells count="82">
    <mergeCell ref="A28:C29"/>
    <mergeCell ref="G7:G9"/>
    <mergeCell ref="D7:D9"/>
    <mergeCell ref="E7:E9"/>
    <mergeCell ref="E18:E19"/>
    <mergeCell ref="F18:F19"/>
    <mergeCell ref="D18:D19"/>
    <mergeCell ref="F7:F9"/>
    <mergeCell ref="A7:C9"/>
    <mergeCell ref="E28:E29"/>
    <mergeCell ref="A34:C34"/>
    <mergeCell ref="A32:C32"/>
    <mergeCell ref="A33:C33"/>
    <mergeCell ref="A13:C13"/>
    <mergeCell ref="A10:C10"/>
    <mergeCell ref="A11:C11"/>
    <mergeCell ref="A12:C12"/>
    <mergeCell ref="A18:C19"/>
    <mergeCell ref="A14:C14"/>
    <mergeCell ref="A22:C22"/>
    <mergeCell ref="A23:C23"/>
    <mergeCell ref="A20:C20"/>
    <mergeCell ref="A21:C21"/>
    <mergeCell ref="A30:C30"/>
    <mergeCell ref="A31:C31"/>
    <mergeCell ref="A24:C24"/>
    <mergeCell ref="D38:D39"/>
    <mergeCell ref="E38:E39"/>
    <mergeCell ref="F38:F39"/>
    <mergeCell ref="G38:G39"/>
    <mergeCell ref="G18:G19"/>
    <mergeCell ref="F28:F29"/>
    <mergeCell ref="G28:G29"/>
    <mergeCell ref="D28:D29"/>
    <mergeCell ref="A40:C40"/>
    <mergeCell ref="A41:C41"/>
    <mergeCell ref="A42:C42"/>
    <mergeCell ref="A43:C43"/>
    <mergeCell ref="A38:C39"/>
    <mergeCell ref="F54:F55"/>
    <mergeCell ref="G54:G55"/>
    <mergeCell ref="A56:C56"/>
    <mergeCell ref="A57:C57"/>
    <mergeCell ref="A44:C44"/>
    <mergeCell ref="A54:C55"/>
    <mergeCell ref="D54:D55"/>
    <mergeCell ref="E54:E55"/>
    <mergeCell ref="E64:E65"/>
    <mergeCell ref="F64:F65"/>
    <mergeCell ref="G64:G65"/>
    <mergeCell ref="A58:C58"/>
    <mergeCell ref="A59:C59"/>
    <mergeCell ref="A60:C60"/>
    <mergeCell ref="A64:C65"/>
    <mergeCell ref="A66:C66"/>
    <mergeCell ref="A67:C67"/>
    <mergeCell ref="A68:C68"/>
    <mergeCell ref="A69:C69"/>
    <mergeCell ref="D64:D65"/>
    <mergeCell ref="G74:G75"/>
    <mergeCell ref="A76:C76"/>
    <mergeCell ref="A77:C77"/>
    <mergeCell ref="A70:C70"/>
    <mergeCell ref="A74:C75"/>
    <mergeCell ref="D74:D75"/>
    <mergeCell ref="E74:E75"/>
    <mergeCell ref="H38:H39"/>
    <mergeCell ref="H84:H85"/>
    <mergeCell ref="A90:C90"/>
    <mergeCell ref="A86:C86"/>
    <mergeCell ref="A87:C87"/>
    <mergeCell ref="A88:C88"/>
    <mergeCell ref="A89:C89"/>
    <mergeCell ref="D84:D85"/>
    <mergeCell ref="E84:E85"/>
    <mergeCell ref="F84:F85"/>
    <mergeCell ref="G84:G85"/>
    <mergeCell ref="A78:C78"/>
    <mergeCell ref="A79:C79"/>
    <mergeCell ref="A80:C80"/>
    <mergeCell ref="A84:C85"/>
    <mergeCell ref="F74:F75"/>
  </mergeCells>
  <phoneticPr fontId="0" type="noConversion"/>
  <pageMargins left="0.39370078740157483" right="0.39370078740157483" top="0.39370078740157483" bottom="0.39370078740157483" header="0" footer="0"/>
  <pageSetup paperSize="9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PBrush" shapeId="3076" r:id="rId4">
          <objectPr defaultSize="0" autoPict="0" r:id="rId5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3</xdr:col>
                <xdr:colOff>60960</xdr:colOff>
                <xdr:row>0</xdr:row>
                <xdr:rowOff>0</xdr:rowOff>
              </to>
            </anchor>
          </objectPr>
        </oleObject>
      </mc:Choice>
      <mc:Fallback>
        <oleObject progId="PBrush" shapeId="3076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List6">
    <tabColor theme="6" tint="0.59999389629810485"/>
    <pageSetUpPr fitToPage="1"/>
  </sheetPr>
  <dimension ref="B1:AE32"/>
  <sheetViews>
    <sheetView showGridLines="0" showRowColHeaders="0" tabSelected="1" zoomScale="85" zoomScaleNormal="85" workbookViewId="0">
      <selection activeCell="G14" sqref="G14:Z14"/>
    </sheetView>
  </sheetViews>
  <sheetFormatPr defaultColWidth="9.109375" defaultRowHeight="14.4" x14ac:dyDescent="0.3"/>
  <cols>
    <col min="1" max="1" width="1.5546875" style="271" customWidth="1"/>
    <col min="2" max="8" width="4.88671875" style="271" customWidth="1"/>
    <col min="9" max="24" width="3.44140625" style="271" customWidth="1"/>
    <col min="25" max="26" width="4.88671875" style="271" customWidth="1"/>
    <col min="27" max="27" width="3" style="271" customWidth="1"/>
    <col min="28" max="28" width="4.88671875" style="271" customWidth="1"/>
    <col min="29" max="29" width="20" style="271" customWidth="1"/>
    <col min="30" max="30" width="10.88671875" style="271" customWidth="1"/>
    <col min="31" max="31" width="5.88671875" style="271" customWidth="1"/>
    <col min="32" max="16384" width="9.109375" style="271"/>
  </cols>
  <sheetData>
    <row r="1" spans="2:31" ht="7.5" customHeight="1" x14ac:dyDescent="0.3"/>
    <row r="2" spans="2:31" x14ac:dyDescent="0.3">
      <c r="B2" s="463" t="str">
        <f>CONCATENATE(Překlady!$A$106,"/",Překlady!$A$105)</f>
        <v>Podane ceny nie zawierają podatku VAT i obowiązują od 06.01.2025/Pion.25.01</v>
      </c>
      <c r="C2" s="464"/>
      <c r="D2" s="464"/>
      <c r="E2" s="464"/>
      <c r="F2" s="464"/>
      <c r="G2" s="464"/>
      <c r="H2" s="464"/>
      <c r="I2" s="464"/>
      <c r="J2" s="464"/>
      <c r="K2" s="464"/>
      <c r="L2" s="464"/>
      <c r="M2" s="464"/>
      <c r="N2" s="464"/>
      <c r="O2" s="464"/>
      <c r="P2" s="464"/>
      <c r="Q2" s="464"/>
      <c r="R2" s="464"/>
      <c r="S2" s="464"/>
      <c r="T2" s="464"/>
      <c r="U2" s="464"/>
      <c r="V2" s="464"/>
      <c r="W2" s="464"/>
      <c r="X2" s="464"/>
      <c r="Y2" s="464"/>
      <c r="Z2" s="464"/>
      <c r="AA2" s="464"/>
      <c r="AB2" s="464"/>
      <c r="AC2" s="464"/>
      <c r="AD2" s="464"/>
      <c r="AE2" s="465"/>
    </row>
    <row r="3" spans="2:31" x14ac:dyDescent="0.3">
      <c r="B3" s="466" t="str">
        <f>Překlady!$A$131</f>
        <v>Formularz zamowieniowy rolet Rehau</v>
      </c>
      <c r="C3" s="467"/>
      <c r="D3" s="467"/>
      <c r="E3" s="467"/>
      <c r="F3" s="467"/>
      <c r="G3" s="467"/>
      <c r="H3" s="467"/>
      <c r="I3" s="467"/>
      <c r="J3" s="467"/>
      <c r="K3" s="467"/>
      <c r="L3" s="467"/>
      <c r="M3" s="467"/>
      <c r="N3" s="467"/>
      <c r="O3" s="467"/>
      <c r="P3" s="467"/>
      <c r="Q3" s="467"/>
      <c r="R3" s="467"/>
      <c r="S3" s="467"/>
      <c r="T3" s="467"/>
      <c r="U3" s="467"/>
      <c r="V3" s="467"/>
      <c r="W3" s="467"/>
      <c r="X3" s="467"/>
      <c r="Y3" s="468"/>
      <c r="Z3" s="468"/>
      <c r="AA3" s="468"/>
      <c r="AB3" s="468"/>
      <c r="AC3" s="468"/>
      <c r="AD3" s="468"/>
      <c r="AE3" s="469"/>
    </row>
    <row r="4" spans="2:31" x14ac:dyDescent="0.3">
      <c r="B4" s="466"/>
      <c r="C4" s="467"/>
      <c r="D4" s="467"/>
      <c r="E4" s="467"/>
      <c r="F4" s="467"/>
      <c r="G4" s="467"/>
      <c r="H4" s="467"/>
      <c r="I4" s="467"/>
      <c r="J4" s="467"/>
      <c r="K4" s="467"/>
      <c r="L4" s="467"/>
      <c r="M4" s="467"/>
      <c r="N4" s="467"/>
      <c r="O4" s="467"/>
      <c r="P4" s="467"/>
      <c r="Q4" s="467"/>
      <c r="R4" s="467"/>
      <c r="S4" s="467"/>
      <c r="T4" s="467"/>
      <c r="U4" s="467"/>
      <c r="V4" s="467"/>
      <c r="W4" s="467"/>
      <c r="X4" s="467"/>
      <c r="Y4" s="468"/>
      <c r="Z4" s="468"/>
      <c r="AA4" s="468"/>
      <c r="AB4" s="468"/>
      <c r="AC4" s="468"/>
      <c r="AD4" s="468"/>
      <c r="AE4" s="469"/>
    </row>
    <row r="5" spans="2:31" x14ac:dyDescent="0.3">
      <c r="B5" s="466"/>
      <c r="C5" s="467"/>
      <c r="D5" s="467"/>
      <c r="E5" s="467"/>
      <c r="F5" s="467"/>
      <c r="G5" s="467"/>
      <c r="H5" s="467"/>
      <c r="I5" s="467"/>
      <c r="J5" s="467"/>
      <c r="K5" s="467"/>
      <c r="L5" s="467"/>
      <c r="M5" s="467"/>
      <c r="N5" s="467"/>
      <c r="O5" s="467"/>
      <c r="P5" s="467"/>
      <c r="Q5" s="467"/>
      <c r="R5" s="467"/>
      <c r="S5" s="467"/>
      <c r="T5" s="467"/>
      <c r="U5" s="467"/>
      <c r="V5" s="467"/>
      <c r="W5" s="467"/>
      <c r="X5" s="467"/>
      <c r="Y5" s="468"/>
      <c r="Z5" s="468"/>
      <c r="AA5" s="468"/>
      <c r="AB5" s="468"/>
      <c r="AC5" s="468"/>
      <c r="AD5" s="468"/>
      <c r="AE5" s="469"/>
    </row>
    <row r="6" spans="2:31" x14ac:dyDescent="0.3">
      <c r="B6" s="466"/>
      <c r="C6" s="467"/>
      <c r="D6" s="467"/>
      <c r="E6" s="467"/>
      <c r="F6" s="467"/>
      <c r="G6" s="467"/>
      <c r="H6" s="467"/>
      <c r="I6" s="467"/>
      <c r="J6" s="467"/>
      <c r="K6" s="467"/>
      <c r="L6" s="467"/>
      <c r="M6" s="467"/>
      <c r="N6" s="467"/>
      <c r="O6" s="467"/>
      <c r="P6" s="467"/>
      <c r="Q6" s="467"/>
      <c r="R6" s="467"/>
      <c r="S6" s="467"/>
      <c r="T6" s="467"/>
      <c r="U6" s="467"/>
      <c r="V6" s="467"/>
      <c r="W6" s="467"/>
      <c r="X6" s="467"/>
      <c r="Y6" s="468"/>
      <c r="Z6" s="468"/>
      <c r="AA6" s="468"/>
      <c r="AB6" s="468"/>
      <c r="AC6" s="468"/>
      <c r="AD6" s="468"/>
      <c r="AE6" s="469"/>
    </row>
    <row r="7" spans="2:31" x14ac:dyDescent="0.3">
      <c r="B7" s="466"/>
      <c r="C7" s="467"/>
      <c r="D7" s="467"/>
      <c r="E7" s="467"/>
      <c r="F7" s="467"/>
      <c r="G7" s="467"/>
      <c r="H7" s="467"/>
      <c r="I7" s="467"/>
      <c r="J7" s="467"/>
      <c r="K7" s="467"/>
      <c r="L7" s="467"/>
      <c r="M7" s="467"/>
      <c r="N7" s="467"/>
      <c r="O7" s="467"/>
      <c r="P7" s="467"/>
      <c r="Q7" s="467"/>
      <c r="R7" s="467"/>
      <c r="S7" s="467"/>
      <c r="T7" s="467"/>
      <c r="U7" s="467"/>
      <c r="V7" s="467"/>
      <c r="W7" s="467"/>
      <c r="X7" s="467"/>
      <c r="Y7" s="470"/>
      <c r="Z7" s="470"/>
      <c r="AA7" s="470"/>
      <c r="AB7" s="470"/>
      <c r="AC7" s="470"/>
      <c r="AD7" s="470"/>
      <c r="AE7" s="471"/>
    </row>
    <row r="8" spans="2:31" ht="8.25" customHeight="1" x14ac:dyDescent="0.3">
      <c r="B8" s="262"/>
      <c r="C8" s="263"/>
      <c r="D8" s="263"/>
      <c r="E8" s="263"/>
      <c r="F8" s="263"/>
      <c r="G8" s="263"/>
      <c r="H8" s="263"/>
      <c r="I8" s="263"/>
      <c r="J8" s="263"/>
      <c r="K8" s="263"/>
      <c r="L8" s="263"/>
      <c r="M8" s="263"/>
      <c r="N8" s="263"/>
      <c r="O8" s="263"/>
      <c r="P8" s="263"/>
      <c r="Q8" s="263"/>
      <c r="R8" s="263"/>
      <c r="S8" s="263"/>
      <c r="T8" s="263"/>
      <c r="U8" s="263"/>
      <c r="V8" s="263"/>
      <c r="W8" s="263"/>
      <c r="X8" s="263"/>
      <c r="Y8" s="264"/>
      <c r="Z8" s="264"/>
      <c r="AA8" s="264"/>
      <c r="AB8" s="264"/>
      <c r="AC8" s="264"/>
      <c r="AD8" s="264"/>
      <c r="AE8" s="265"/>
    </row>
    <row r="9" spans="2:31" ht="3.75" customHeight="1" x14ac:dyDescent="0.3">
      <c r="B9" s="472"/>
      <c r="C9" s="473"/>
      <c r="D9" s="473"/>
      <c r="E9" s="473"/>
      <c r="F9" s="473"/>
      <c r="G9" s="473"/>
      <c r="H9" s="473"/>
      <c r="I9" s="473"/>
      <c r="J9" s="473"/>
      <c r="K9" s="473"/>
      <c r="L9" s="473"/>
      <c r="M9" s="473"/>
      <c r="N9" s="473"/>
      <c r="O9" s="473"/>
      <c r="P9" s="473"/>
      <c r="Q9" s="473"/>
      <c r="R9" s="473"/>
      <c r="S9" s="473"/>
      <c r="T9" s="473"/>
      <c r="U9" s="473"/>
      <c r="V9" s="473"/>
      <c r="W9" s="473"/>
      <c r="X9" s="473"/>
      <c r="Y9" s="473"/>
      <c r="Z9" s="473"/>
      <c r="AA9" s="473"/>
      <c r="AB9" s="473"/>
      <c r="AC9" s="473"/>
      <c r="AD9" s="473"/>
      <c r="AE9" s="474"/>
    </row>
    <row r="10" spans="2:31" ht="5.25" customHeight="1" x14ac:dyDescent="0.3">
      <c r="B10" s="472"/>
      <c r="C10" s="473"/>
      <c r="D10" s="473"/>
      <c r="E10" s="473"/>
      <c r="F10" s="473"/>
      <c r="G10" s="473"/>
      <c r="H10" s="473"/>
      <c r="I10" s="473"/>
      <c r="J10" s="473"/>
      <c r="K10" s="473"/>
      <c r="L10" s="473"/>
      <c r="M10" s="473"/>
      <c r="N10" s="473"/>
      <c r="O10" s="473"/>
      <c r="P10" s="473"/>
      <c r="Q10" s="473"/>
      <c r="R10" s="473"/>
      <c r="S10" s="473"/>
      <c r="T10" s="473"/>
      <c r="U10" s="473"/>
      <c r="V10" s="473"/>
      <c r="W10" s="473"/>
      <c r="X10" s="473"/>
      <c r="Y10" s="473"/>
      <c r="Z10" s="473"/>
      <c r="AA10" s="473"/>
      <c r="AB10" s="473"/>
      <c r="AC10" s="473"/>
      <c r="AD10" s="473"/>
      <c r="AE10" s="474"/>
    </row>
    <row r="11" spans="2:31" ht="18" x14ac:dyDescent="0.35">
      <c r="B11" s="475" t="str">
        <f>Překlady!A129</f>
        <v>Wpisz proszę dane kontaktowe i kliknij w okienko zamawianie żaluzji.</v>
      </c>
      <c r="C11" s="476"/>
      <c r="D11" s="476"/>
      <c r="E11" s="476"/>
      <c r="F11" s="476"/>
      <c r="G11" s="476"/>
      <c r="H11" s="476"/>
      <c r="I11" s="476"/>
      <c r="J11" s="476"/>
      <c r="K11" s="476"/>
      <c r="L11" s="476"/>
      <c r="M11" s="476"/>
      <c r="N11" s="476"/>
      <c r="O11" s="476"/>
      <c r="P11" s="476"/>
      <c r="Q11" s="476"/>
      <c r="R11" s="476"/>
      <c r="S11" s="476"/>
      <c r="T11" s="476"/>
      <c r="U11" s="476"/>
      <c r="V11" s="476"/>
      <c r="W11" s="476"/>
      <c r="X11" s="476"/>
      <c r="Y11" s="476"/>
      <c r="Z11" s="476"/>
      <c r="AA11" s="476"/>
      <c r="AB11" s="476"/>
      <c r="AC11" s="476"/>
      <c r="AD11" s="476"/>
      <c r="AE11" s="477"/>
    </row>
    <row r="12" spans="2:31" ht="18" x14ac:dyDescent="0.35">
      <c r="B12" s="437" t="str">
        <f>Překlady!$A$130</f>
        <v>Poprzez zapisanie danych potwierdzasz, że zapoznałeś się z podanymi niżej informacjami!</v>
      </c>
      <c r="C12" s="438"/>
      <c r="D12" s="438"/>
      <c r="E12" s="438"/>
      <c r="F12" s="438"/>
      <c r="G12" s="438"/>
      <c r="H12" s="438"/>
      <c r="I12" s="438"/>
      <c r="J12" s="438"/>
      <c r="K12" s="438"/>
      <c r="L12" s="438"/>
      <c r="M12" s="438"/>
      <c r="N12" s="438"/>
      <c r="O12" s="438"/>
      <c r="P12" s="438"/>
      <c r="Q12" s="438"/>
      <c r="R12" s="438"/>
      <c r="S12" s="438"/>
      <c r="T12" s="438"/>
      <c r="U12" s="438"/>
      <c r="V12" s="438"/>
      <c r="W12" s="438"/>
      <c r="X12" s="438"/>
      <c r="Y12" s="438"/>
      <c r="Z12" s="438"/>
      <c r="AA12" s="438"/>
      <c r="AB12" s="438"/>
      <c r="AC12" s="438"/>
      <c r="AD12" s="438"/>
      <c r="AE12" s="439"/>
    </row>
    <row r="13" spans="2:31" ht="18" x14ac:dyDescent="0.3">
      <c r="B13" s="266"/>
      <c r="C13" s="267"/>
      <c r="D13" s="267"/>
      <c r="E13" s="267"/>
      <c r="F13" s="267"/>
      <c r="G13" s="267"/>
      <c r="H13" s="267"/>
      <c r="I13" s="267"/>
      <c r="J13" s="267"/>
      <c r="K13" s="267"/>
      <c r="L13" s="267"/>
      <c r="M13" s="267"/>
      <c r="N13" s="267"/>
      <c r="O13" s="267"/>
      <c r="P13" s="267"/>
      <c r="Q13" s="267"/>
      <c r="R13" s="267"/>
      <c r="S13" s="267"/>
      <c r="T13" s="267"/>
      <c r="U13" s="267"/>
      <c r="V13" s="267"/>
      <c r="W13" s="267"/>
      <c r="X13" s="267"/>
      <c r="Y13" s="267"/>
      <c r="Z13" s="267"/>
      <c r="AA13" s="267"/>
      <c r="AB13" s="267"/>
      <c r="AC13" s="267"/>
      <c r="AD13" s="267"/>
      <c r="AE13" s="268"/>
    </row>
    <row r="14" spans="2:31" ht="18.75" customHeight="1" x14ac:dyDescent="0.3">
      <c r="B14" s="448" t="str">
        <f>Překlady!$A$4</f>
        <v>Nazwa</v>
      </c>
      <c r="C14" s="449"/>
      <c r="D14" s="449"/>
      <c r="E14" s="449"/>
      <c r="F14" s="449"/>
      <c r="G14" s="450"/>
      <c r="H14" s="450"/>
      <c r="I14" s="450"/>
      <c r="J14" s="450"/>
      <c r="K14" s="450"/>
      <c r="L14" s="450"/>
      <c r="M14" s="450"/>
      <c r="N14" s="450"/>
      <c r="O14" s="450"/>
      <c r="P14" s="450"/>
      <c r="Q14" s="450"/>
      <c r="R14" s="450"/>
      <c r="S14" s="450"/>
      <c r="T14" s="450"/>
      <c r="U14" s="450"/>
      <c r="V14" s="450"/>
      <c r="W14" s="450"/>
      <c r="X14" s="450"/>
      <c r="Y14" s="450"/>
      <c r="Z14" s="451"/>
      <c r="AA14" s="269"/>
      <c r="AB14" s="454" t="str">
        <f>Překlady!A2</f>
        <v>Zamawianie żaluzji</v>
      </c>
      <c r="AC14" s="455"/>
      <c r="AD14" s="455"/>
      <c r="AE14" s="456"/>
    </row>
    <row r="15" spans="2:31" ht="18.75" customHeight="1" x14ac:dyDescent="0.3">
      <c r="B15" s="452" t="str">
        <f>Překlady!$A$128</f>
        <v>Adres</v>
      </c>
      <c r="C15" s="453"/>
      <c r="D15" s="453"/>
      <c r="E15" s="453"/>
      <c r="F15" s="453"/>
      <c r="G15" s="442"/>
      <c r="H15" s="442"/>
      <c r="I15" s="442"/>
      <c r="J15" s="442"/>
      <c r="K15" s="442"/>
      <c r="L15" s="442"/>
      <c r="M15" s="442"/>
      <c r="N15" s="442"/>
      <c r="O15" s="442"/>
      <c r="P15" s="442"/>
      <c r="Q15" s="442"/>
      <c r="R15" s="442"/>
      <c r="S15" s="442"/>
      <c r="T15" s="442"/>
      <c r="U15" s="442"/>
      <c r="V15" s="442"/>
      <c r="W15" s="442"/>
      <c r="X15" s="442"/>
      <c r="Y15" s="442"/>
      <c r="Z15" s="443"/>
      <c r="AA15" s="269"/>
      <c r="AB15" s="457"/>
      <c r="AC15" s="458"/>
      <c r="AD15" s="458"/>
      <c r="AE15" s="459"/>
    </row>
    <row r="16" spans="2:31" ht="18.75" customHeight="1" x14ac:dyDescent="0.3">
      <c r="B16" s="440" t="str">
        <f>Překlady!$A$7</f>
        <v>NIP</v>
      </c>
      <c r="C16" s="441"/>
      <c r="D16" s="441"/>
      <c r="E16" s="441"/>
      <c r="F16" s="441"/>
      <c r="G16" s="442"/>
      <c r="H16" s="442"/>
      <c r="I16" s="442"/>
      <c r="J16" s="442"/>
      <c r="K16" s="442"/>
      <c r="L16" s="442"/>
      <c r="M16" s="442"/>
      <c r="N16" s="442"/>
      <c r="O16" s="442"/>
      <c r="P16" s="442"/>
      <c r="Q16" s="442"/>
      <c r="R16" s="442"/>
      <c r="S16" s="442"/>
      <c r="T16" s="442"/>
      <c r="U16" s="442"/>
      <c r="V16" s="442"/>
      <c r="W16" s="442"/>
      <c r="X16" s="442"/>
      <c r="Y16" s="442"/>
      <c r="Z16" s="443"/>
      <c r="AA16" s="269"/>
      <c r="AB16" s="457"/>
      <c r="AC16" s="458"/>
      <c r="AD16" s="458"/>
      <c r="AE16" s="459"/>
    </row>
    <row r="17" spans="2:31" ht="18.75" customHeight="1" x14ac:dyDescent="0.3">
      <c r="B17" s="440" t="str">
        <f>Překlady!A126</f>
        <v>Telefon kontaktowy</v>
      </c>
      <c r="C17" s="441"/>
      <c r="D17" s="441"/>
      <c r="E17" s="441"/>
      <c r="F17" s="441"/>
      <c r="G17" s="442"/>
      <c r="H17" s="442"/>
      <c r="I17" s="442"/>
      <c r="J17" s="442"/>
      <c r="K17" s="442"/>
      <c r="L17" s="442"/>
      <c r="M17" s="442"/>
      <c r="N17" s="442"/>
      <c r="O17" s="442"/>
      <c r="P17" s="442"/>
      <c r="Q17" s="442"/>
      <c r="R17" s="442"/>
      <c r="S17" s="442"/>
      <c r="T17" s="442"/>
      <c r="U17" s="442"/>
      <c r="V17" s="442"/>
      <c r="W17" s="442"/>
      <c r="X17" s="442"/>
      <c r="Y17" s="442"/>
      <c r="Z17" s="443"/>
      <c r="AA17" s="269"/>
      <c r="AB17" s="457"/>
      <c r="AC17" s="458"/>
      <c r="AD17" s="458"/>
      <c r="AE17" s="459"/>
    </row>
    <row r="18" spans="2:31" ht="18.75" customHeight="1" x14ac:dyDescent="0.3">
      <c r="B18" s="444" t="str">
        <f>Překlady!A127</f>
        <v>Adres e-mail</v>
      </c>
      <c r="C18" s="445"/>
      <c r="D18" s="445"/>
      <c r="E18" s="445"/>
      <c r="F18" s="445"/>
      <c r="G18" s="446"/>
      <c r="H18" s="446"/>
      <c r="I18" s="446"/>
      <c r="J18" s="446"/>
      <c r="K18" s="446"/>
      <c r="L18" s="446"/>
      <c r="M18" s="446"/>
      <c r="N18" s="446"/>
      <c r="O18" s="446"/>
      <c r="P18" s="446"/>
      <c r="Q18" s="446"/>
      <c r="R18" s="446"/>
      <c r="S18" s="446"/>
      <c r="T18" s="446"/>
      <c r="U18" s="446"/>
      <c r="V18" s="446"/>
      <c r="W18" s="446"/>
      <c r="X18" s="446"/>
      <c r="Y18" s="446"/>
      <c r="Z18" s="447"/>
      <c r="AA18" s="269"/>
      <c r="AB18" s="460"/>
      <c r="AC18" s="461"/>
      <c r="AD18" s="461"/>
      <c r="AE18" s="462"/>
    </row>
    <row r="19" spans="2:31" x14ac:dyDescent="0.3">
      <c r="B19" s="270"/>
      <c r="AE19" s="272"/>
    </row>
    <row r="20" spans="2:31" ht="18.75" customHeight="1" x14ac:dyDescent="0.3">
      <c r="B20" s="270"/>
      <c r="AE20" s="272"/>
    </row>
    <row r="21" spans="2:31" ht="16.5" customHeight="1" x14ac:dyDescent="0.3">
      <c r="B21" s="281">
        <v>1</v>
      </c>
      <c r="C21" s="486" t="str">
        <f>CONCATENATE(Překlady!A119," ",Překlady!A120)</f>
        <v>Zapisane zamówienie wyślij pod adres zamowienia@demos-trade.com</v>
      </c>
      <c r="D21" s="486"/>
      <c r="E21" s="486"/>
      <c r="F21" s="486"/>
      <c r="G21" s="486"/>
      <c r="H21" s="486"/>
      <c r="I21" s="486"/>
      <c r="J21" s="486"/>
      <c r="K21" s="486"/>
      <c r="L21" s="486"/>
      <c r="M21" s="486"/>
      <c r="N21" s="486"/>
      <c r="O21" s="486"/>
      <c r="P21" s="486"/>
      <c r="Q21" s="486"/>
      <c r="R21" s="486"/>
      <c r="S21" s="486"/>
      <c r="T21" s="486"/>
      <c r="U21" s="486"/>
      <c r="V21" s="486"/>
      <c r="W21" s="486"/>
      <c r="X21" s="486"/>
      <c r="Y21" s="486"/>
      <c r="Z21" s="486"/>
      <c r="AA21" s="486"/>
      <c r="AB21" s="486"/>
      <c r="AC21" s="486"/>
      <c r="AD21" s="486"/>
      <c r="AE21" s="487"/>
    </row>
    <row r="22" spans="2:31" ht="16.5" customHeight="1" x14ac:dyDescent="0.3">
      <c r="B22" s="282">
        <v>2</v>
      </c>
      <c r="C22" s="481" t="str">
        <f>Překlady!$A$122</f>
        <v>Do formularza należy zapisać wyłącznie rozmiary wewnętrzne szafki (rozmiary zewnętrzne służą do kontroli)</v>
      </c>
      <c r="D22" s="481"/>
      <c r="E22" s="481"/>
      <c r="F22" s="481"/>
      <c r="G22" s="481"/>
      <c r="H22" s="481"/>
      <c r="I22" s="481"/>
      <c r="J22" s="481"/>
      <c r="K22" s="481"/>
      <c r="L22" s="481"/>
      <c r="M22" s="481"/>
      <c r="N22" s="481"/>
      <c r="O22" s="481"/>
      <c r="P22" s="481"/>
      <c r="Q22" s="481"/>
      <c r="R22" s="481"/>
      <c r="S22" s="481"/>
      <c r="T22" s="481"/>
      <c r="U22" s="481"/>
      <c r="V22" s="481"/>
      <c r="W22" s="481"/>
      <c r="X22" s="481"/>
      <c r="Y22" s="481"/>
      <c r="Z22" s="481"/>
      <c r="AA22" s="481"/>
      <c r="AB22" s="481"/>
      <c r="AC22" s="481"/>
      <c r="AD22" s="481"/>
      <c r="AE22" s="482"/>
    </row>
    <row r="23" spans="2:31" ht="16.5" customHeight="1" x14ac:dyDescent="0.3">
      <c r="B23" s="282">
        <v>3</v>
      </c>
      <c r="C23" s="481" t="str">
        <f>Překlady!$A$123</f>
        <v>W wypadku, kiedy któraś z pozycji jest na zamówienie, minimalny odbiór wyłącznie w pełnych opakowaniach</v>
      </c>
      <c r="D23" s="481"/>
      <c r="E23" s="481"/>
      <c r="F23" s="481"/>
      <c r="G23" s="481"/>
      <c r="H23" s="481"/>
      <c r="I23" s="481"/>
      <c r="J23" s="481"/>
      <c r="K23" s="481"/>
      <c r="L23" s="481"/>
      <c r="M23" s="481"/>
      <c r="N23" s="481"/>
      <c r="O23" s="481"/>
      <c r="P23" s="481"/>
      <c r="Q23" s="481"/>
      <c r="R23" s="481"/>
      <c r="S23" s="481"/>
      <c r="T23" s="481"/>
      <c r="U23" s="481"/>
      <c r="V23" s="481"/>
      <c r="W23" s="481"/>
      <c r="X23" s="481"/>
      <c r="Y23" s="481"/>
      <c r="Z23" s="481"/>
      <c r="AA23" s="481"/>
      <c r="AB23" s="481"/>
      <c r="AC23" s="481"/>
      <c r="AD23" s="481"/>
      <c r="AE23" s="482"/>
    </row>
    <row r="24" spans="2:31" ht="16.5" customHeight="1" x14ac:dyDescent="0.3">
      <c r="B24" s="282">
        <v>4</v>
      </c>
      <c r="C24" s="481" t="str">
        <f>Překlady!$A$125</f>
        <v>Formularz służy jako pomoc do konfiguracji, do właściwego działania rolety zawsze należy kierować się zaleceniami producenta (Rehau)</v>
      </c>
      <c r="D24" s="481"/>
      <c r="E24" s="481"/>
      <c r="F24" s="481"/>
      <c r="G24" s="481"/>
      <c r="H24" s="481"/>
      <c r="I24" s="481"/>
      <c r="J24" s="481"/>
      <c r="K24" s="481"/>
      <c r="L24" s="481"/>
      <c r="M24" s="481"/>
      <c r="N24" s="481"/>
      <c r="O24" s="481"/>
      <c r="P24" s="481"/>
      <c r="Q24" s="481"/>
      <c r="R24" s="481"/>
      <c r="S24" s="481"/>
      <c r="T24" s="481"/>
      <c r="U24" s="481"/>
      <c r="V24" s="481"/>
      <c r="W24" s="481"/>
      <c r="X24" s="481"/>
      <c r="Y24" s="481"/>
      <c r="Z24" s="481"/>
      <c r="AA24" s="481"/>
      <c r="AB24" s="481"/>
      <c r="AC24" s="481"/>
      <c r="AD24" s="481"/>
      <c r="AE24" s="482"/>
    </row>
    <row r="25" spans="2:31" ht="16.5" customHeight="1" x14ac:dyDescent="0.3">
      <c r="B25" s="282">
        <v>5</v>
      </c>
      <c r="C25" s="481" t="str">
        <f>Překlady!$A$124</f>
        <v>Do rolet pionowych powyżej 500mm zalecamy zastosowanie odpowiedniego mechanizmu (C3, C6, C8, Caddy)</v>
      </c>
      <c r="D25" s="481"/>
      <c r="E25" s="481"/>
      <c r="F25" s="481"/>
      <c r="G25" s="481"/>
      <c r="H25" s="481"/>
      <c r="I25" s="481"/>
      <c r="J25" s="481"/>
      <c r="K25" s="481"/>
      <c r="L25" s="481"/>
      <c r="M25" s="481"/>
      <c r="N25" s="481"/>
      <c r="O25" s="481"/>
      <c r="P25" s="481"/>
      <c r="Q25" s="481"/>
      <c r="R25" s="481"/>
      <c r="S25" s="481"/>
      <c r="T25" s="481"/>
      <c r="U25" s="481"/>
      <c r="V25" s="481"/>
      <c r="W25" s="481"/>
      <c r="X25" s="481"/>
      <c r="Y25" s="481"/>
      <c r="Z25" s="481"/>
      <c r="AA25" s="481"/>
      <c r="AB25" s="481"/>
      <c r="AC25" s="481"/>
      <c r="AD25" s="481"/>
      <c r="AE25" s="482"/>
    </row>
    <row r="26" spans="2:31" ht="19.5" customHeight="1" x14ac:dyDescent="0.3">
      <c r="B26" s="282">
        <v>6</v>
      </c>
      <c r="C26" s="481" t="str">
        <f>Překlady!$A$174</f>
        <v>Przy zastosowaniu nakładanego prowadzenia 29 mm do Metallic line w kombinacji z mechanizmem C3, prowadnice należy przygotować zgodnie z rysunkiem w zakładce Instrukcja</v>
      </c>
      <c r="D26" s="481"/>
      <c r="E26" s="481"/>
      <c r="F26" s="481"/>
      <c r="G26" s="481"/>
      <c r="H26" s="481"/>
      <c r="I26" s="481"/>
      <c r="J26" s="481"/>
      <c r="K26" s="481"/>
      <c r="L26" s="481"/>
      <c r="M26" s="481"/>
      <c r="N26" s="481"/>
      <c r="O26" s="481"/>
      <c r="P26" s="481"/>
      <c r="Q26" s="481"/>
      <c r="R26" s="481"/>
      <c r="S26" s="481"/>
      <c r="T26" s="481"/>
      <c r="U26" s="481"/>
      <c r="V26" s="481"/>
      <c r="W26" s="481"/>
      <c r="X26" s="481"/>
      <c r="Y26" s="481"/>
      <c r="Z26" s="481"/>
      <c r="AA26" s="481"/>
      <c r="AB26" s="481"/>
      <c r="AC26" s="481"/>
      <c r="AD26" s="481"/>
      <c r="AE26" s="482"/>
    </row>
    <row r="27" spans="2:31" ht="30" customHeight="1" x14ac:dyDescent="0.3">
      <c r="B27" s="282">
        <v>7</v>
      </c>
      <c r="C27" s="481" t="str">
        <f>Překlady!$A$132</f>
        <v>W formularzu nie zawsze są dokładnie podane ograniczenia maksymalnych rozmiarów szafki, należy zatem dotrzymywać zalecenia producenta (Rehau)</v>
      </c>
      <c r="D27" s="481"/>
      <c r="E27" s="481"/>
      <c r="F27" s="481"/>
      <c r="G27" s="481"/>
      <c r="H27" s="481"/>
      <c r="I27" s="481"/>
      <c r="J27" s="481"/>
      <c r="K27" s="481"/>
      <c r="L27" s="481"/>
      <c r="M27" s="481"/>
      <c r="N27" s="481"/>
      <c r="O27" s="481"/>
      <c r="P27" s="481"/>
      <c r="Q27" s="481"/>
      <c r="R27" s="481"/>
      <c r="S27" s="481"/>
      <c r="T27" s="481"/>
      <c r="U27" s="481"/>
      <c r="V27" s="481"/>
      <c r="W27" s="481"/>
      <c r="X27" s="481"/>
      <c r="Y27" s="481"/>
      <c r="Z27" s="481"/>
      <c r="AA27" s="481"/>
      <c r="AB27" s="481"/>
      <c r="AC27" s="481"/>
      <c r="AD27" s="481"/>
      <c r="AE27" s="482"/>
    </row>
    <row r="28" spans="2:31" ht="16.5" customHeight="1" x14ac:dyDescent="0.3">
      <c r="B28" s="282">
        <v>8</v>
      </c>
      <c r="C28" s="483" t="str">
        <f>Překlady!$A$135</f>
        <v>Maksymalna zalecana długość profili roletowych zapisanych w formularzu (szerokość maty roletowej) jest 1200 mm</v>
      </c>
      <c r="D28" s="484"/>
      <c r="E28" s="484"/>
      <c r="F28" s="484"/>
      <c r="G28" s="484"/>
      <c r="H28" s="484"/>
      <c r="I28" s="484"/>
      <c r="J28" s="484"/>
      <c r="K28" s="484"/>
      <c r="L28" s="484"/>
      <c r="M28" s="484"/>
      <c r="N28" s="484"/>
      <c r="O28" s="484"/>
      <c r="P28" s="484"/>
      <c r="Q28" s="484"/>
      <c r="R28" s="484"/>
      <c r="S28" s="484"/>
      <c r="T28" s="484"/>
      <c r="U28" s="484"/>
      <c r="V28" s="484"/>
      <c r="W28" s="484"/>
      <c r="X28" s="484"/>
      <c r="Y28" s="484"/>
      <c r="Z28" s="484"/>
      <c r="AA28" s="484"/>
      <c r="AB28" s="484"/>
      <c r="AC28" s="484"/>
      <c r="AD28" s="484"/>
      <c r="AE28" s="485"/>
    </row>
    <row r="29" spans="2:31" ht="16.5" customHeight="1" x14ac:dyDescent="0.3">
      <c r="B29" s="282">
        <v>9</v>
      </c>
      <c r="C29" s="481" t="str">
        <f>Překlady!$A$103</f>
        <v>Instrukcje montażu są dostępne na naszym portalu www.demos24plus.com</v>
      </c>
      <c r="D29" s="481"/>
      <c r="E29" s="481"/>
      <c r="F29" s="481"/>
      <c r="G29" s="481"/>
      <c r="H29" s="481"/>
      <c r="I29" s="481"/>
      <c r="J29" s="481"/>
      <c r="K29" s="481"/>
      <c r="L29" s="481"/>
      <c r="M29" s="481"/>
      <c r="N29" s="481"/>
      <c r="O29" s="481"/>
      <c r="P29" s="481"/>
      <c r="Q29" s="481"/>
      <c r="R29" s="481"/>
      <c r="S29" s="481"/>
      <c r="T29" s="481"/>
      <c r="U29" s="481"/>
      <c r="V29" s="481"/>
      <c r="W29" s="481"/>
      <c r="X29" s="481"/>
      <c r="Y29" s="481"/>
      <c r="Z29" s="481"/>
      <c r="AA29" s="481"/>
      <c r="AB29" s="481"/>
      <c r="AC29" s="481"/>
      <c r="AD29" s="481"/>
      <c r="AE29" s="482"/>
    </row>
    <row r="30" spans="2:31" ht="16.5" customHeight="1" x14ac:dyDescent="0.3">
      <c r="B30" s="282">
        <v>10</v>
      </c>
      <c r="C30" s="481" t="str">
        <f>Překlady!$A$121</f>
        <v>Formularz składa się z kilku stron, które można przełączać w dolnej części.</v>
      </c>
      <c r="D30" s="481"/>
      <c r="E30" s="481"/>
      <c r="F30" s="481"/>
      <c r="G30" s="481"/>
      <c r="H30" s="481"/>
      <c r="I30" s="481"/>
      <c r="J30" s="481"/>
      <c r="K30" s="481"/>
      <c r="L30" s="481"/>
      <c r="M30" s="481"/>
      <c r="N30" s="481"/>
      <c r="O30" s="481"/>
      <c r="P30" s="481"/>
      <c r="Q30" s="481"/>
      <c r="R30" s="481"/>
      <c r="S30" s="481"/>
      <c r="T30" s="481"/>
      <c r="U30" s="481"/>
      <c r="V30" s="481"/>
      <c r="W30" s="481"/>
      <c r="X30" s="481"/>
      <c r="Y30" s="481"/>
      <c r="Z30" s="481"/>
      <c r="AA30" s="481"/>
      <c r="AB30" s="481"/>
      <c r="AC30" s="481"/>
      <c r="AD30" s="481"/>
      <c r="AE30" s="482"/>
    </row>
    <row r="31" spans="2:31" ht="16.5" customHeight="1" x14ac:dyDescent="0.3">
      <c r="B31" s="282">
        <v>11</v>
      </c>
      <c r="C31" s="481" t="str">
        <f>Překlady!$A$118</f>
        <v>Prosimy korzystać zawsze z aktualnej wersji formularza umieszczonego na naszych stronach web.</v>
      </c>
      <c r="D31" s="481"/>
      <c r="E31" s="481"/>
      <c r="F31" s="481"/>
      <c r="G31" s="481"/>
      <c r="H31" s="481"/>
      <c r="I31" s="481"/>
      <c r="J31" s="481"/>
      <c r="K31" s="481"/>
      <c r="L31" s="481"/>
      <c r="M31" s="481"/>
      <c r="N31" s="481"/>
      <c r="O31" s="481"/>
      <c r="P31" s="481"/>
      <c r="Q31" s="481"/>
      <c r="R31" s="481"/>
      <c r="S31" s="481"/>
      <c r="T31" s="481"/>
      <c r="U31" s="481"/>
      <c r="V31" s="481"/>
      <c r="W31" s="481"/>
      <c r="X31" s="481"/>
      <c r="Y31" s="481"/>
      <c r="Z31" s="481"/>
      <c r="AA31" s="481"/>
      <c r="AB31" s="481"/>
      <c r="AC31" s="481"/>
      <c r="AD31" s="481"/>
      <c r="AE31" s="482"/>
    </row>
    <row r="32" spans="2:31" ht="15.6" x14ac:dyDescent="0.3">
      <c r="B32" s="283"/>
      <c r="C32" s="273"/>
      <c r="D32" s="273"/>
      <c r="E32" s="273"/>
      <c r="F32" s="273"/>
      <c r="G32" s="273"/>
      <c r="H32" s="273"/>
      <c r="I32" s="273"/>
      <c r="J32" s="273"/>
      <c r="K32" s="273"/>
      <c r="L32" s="273"/>
      <c r="M32" s="273"/>
      <c r="N32" s="273"/>
      <c r="O32" s="273"/>
      <c r="P32" s="273"/>
      <c r="Q32" s="273"/>
      <c r="R32" s="273"/>
      <c r="S32" s="273"/>
      <c r="T32" s="273"/>
      <c r="U32" s="273"/>
      <c r="V32" s="273"/>
      <c r="W32" s="273"/>
      <c r="X32" s="273"/>
      <c r="Y32" s="478" t="s">
        <v>1787</v>
      </c>
      <c r="Z32" s="479"/>
      <c r="AA32" s="479"/>
      <c r="AB32" s="479"/>
      <c r="AC32" s="479"/>
      <c r="AD32" s="479"/>
      <c r="AE32" s="480"/>
    </row>
  </sheetData>
  <sheetProtection algorithmName="SHA-512" hashValue="3ZLRteGPeAvnXL9COUc7+mdH+MYskb0NjGAWccFlZ5h7DgzDfCVbCcsYqiAV/9PjRFqOZDBU3o9LrhcZgicHfQ==" saltValue="EpW87KQ2Ruknw2R6CeoaNA==" spinCount="100000" sheet="1" selectLockedCells="1"/>
  <mergeCells count="29">
    <mergeCell ref="C26:AE26"/>
    <mergeCell ref="C21:AE21"/>
    <mergeCell ref="C22:AE22"/>
    <mergeCell ref="C23:AE23"/>
    <mergeCell ref="C24:AE24"/>
    <mergeCell ref="C25:AE25"/>
    <mergeCell ref="Y32:AE32"/>
    <mergeCell ref="C27:AE27"/>
    <mergeCell ref="C29:AE29"/>
    <mergeCell ref="C30:AE30"/>
    <mergeCell ref="C31:AE31"/>
    <mergeCell ref="C28:AE28"/>
    <mergeCell ref="B2:AE2"/>
    <mergeCell ref="B3:X7"/>
    <mergeCell ref="Y3:AE7"/>
    <mergeCell ref="B9:AE10"/>
    <mergeCell ref="B11:AE11"/>
    <mergeCell ref="B12:AE12"/>
    <mergeCell ref="B17:F17"/>
    <mergeCell ref="G17:Z17"/>
    <mergeCell ref="B18:F18"/>
    <mergeCell ref="G18:Z18"/>
    <mergeCell ref="B14:F14"/>
    <mergeCell ref="G14:Z14"/>
    <mergeCell ref="B15:F15"/>
    <mergeCell ref="G15:Z15"/>
    <mergeCell ref="B16:F16"/>
    <mergeCell ref="G16:Z16"/>
    <mergeCell ref="AB14:AE18"/>
  </mergeCells>
  <hyperlinks>
    <hyperlink ref="Y32" r:id="rId1" xr:uid="{00000000-0004-0000-0300-000000000000}"/>
    <hyperlink ref="AB14:AE18" location="'Objednávka žaluzií'!A1" display="'Objednávka žaluzií'!A1" xr:uid="{00000000-0004-0000-0300-000001000000}"/>
  </hyperlinks>
  <pageMargins left="0.7" right="0.7" top="0.78740157499999996" bottom="0.78740157499999996" header="0.3" footer="0.3"/>
  <pageSetup paperSize="9" scale="61" orientation="portrait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4">
    <tabColor theme="6" tint="-0.249977111117893"/>
    <pageSetUpPr fitToPage="1"/>
  </sheetPr>
  <dimension ref="A1:EJ69"/>
  <sheetViews>
    <sheetView showGridLines="0" showRowColHeaders="0" showZeros="0" topLeftCell="B1" zoomScale="90" zoomScaleNormal="90" workbookViewId="0">
      <selection activeCell="M9" sqref="M9"/>
    </sheetView>
  </sheetViews>
  <sheetFormatPr defaultColWidth="9.109375" defaultRowHeight="13.8" x14ac:dyDescent="0.3"/>
  <cols>
    <col min="1" max="1" width="17.33203125" style="205" hidden="1" customWidth="1"/>
    <col min="2" max="2" width="2" style="205" customWidth="1"/>
    <col min="3" max="3" width="17.33203125" style="205" customWidth="1"/>
    <col min="4" max="4" width="14.33203125" style="205" customWidth="1"/>
    <col min="5" max="5" width="13.5546875" style="205" customWidth="1"/>
    <col min="6" max="6" width="14.88671875" style="205" customWidth="1"/>
    <col min="7" max="8" width="0.5546875" style="205" customWidth="1"/>
    <col min="9" max="9" width="8.6640625" style="205" customWidth="1"/>
    <col min="10" max="10" width="4.6640625" style="205" customWidth="1"/>
    <col min="11" max="11" width="6.33203125" style="205" customWidth="1"/>
    <col min="12" max="12" width="5.33203125" style="205" customWidth="1"/>
    <col min="13" max="13" width="15" style="205" customWidth="1"/>
    <col min="14" max="14" width="11" style="205" customWidth="1"/>
    <col min="15" max="15" width="11.109375" style="205" customWidth="1"/>
    <col min="16" max="16" width="4" style="205" hidden="1" customWidth="1"/>
    <col min="17" max="17" width="7.44140625" style="205" hidden="1" customWidth="1"/>
    <col min="18" max="18" width="8.33203125" style="205" hidden="1" customWidth="1"/>
    <col min="19" max="19" width="4" style="205" hidden="1" customWidth="1"/>
    <col min="20" max="20" width="7" style="205" hidden="1" customWidth="1"/>
    <col min="21" max="21" width="16.44140625" style="205" hidden="1" customWidth="1"/>
    <col min="22" max="22" width="2" style="205" hidden="1" customWidth="1"/>
    <col min="23" max="23" width="16.44140625" style="205" hidden="1" customWidth="1"/>
    <col min="24" max="25" width="7" style="205" hidden="1" customWidth="1"/>
    <col min="26" max="29" width="16.44140625" style="205" hidden="1" customWidth="1"/>
    <col min="30" max="30" width="31.109375" style="205" hidden="1" customWidth="1"/>
    <col min="31" max="34" width="16.44140625" style="205" hidden="1" customWidth="1"/>
    <col min="35" max="35" width="7" style="205" hidden="1" customWidth="1"/>
    <col min="36" max="48" width="16.44140625" style="205" hidden="1" customWidth="1"/>
    <col min="49" max="85" width="9.109375" style="205" hidden="1" customWidth="1"/>
    <col min="86" max="86" width="0.5546875" style="205" hidden="1" customWidth="1"/>
    <col min="87" max="140" width="9.109375" style="205" hidden="1" customWidth="1"/>
    <col min="141" max="141" width="9.109375" style="205" customWidth="1"/>
    <col min="142" max="16384" width="9.109375" style="205"/>
  </cols>
  <sheetData>
    <row r="1" spans="3:21" ht="6.75" customHeight="1" x14ac:dyDescent="0.3"/>
    <row r="2" spans="3:21" ht="13.5" customHeight="1" x14ac:dyDescent="0.45">
      <c r="C2" s="518" t="str">
        <f>Překlady!$A$2</f>
        <v>Zamawianie żaluzji</v>
      </c>
      <c r="D2" s="519"/>
      <c r="E2" s="519"/>
      <c r="F2" s="519"/>
      <c r="G2" s="232"/>
      <c r="H2" s="232"/>
      <c r="I2" s="232"/>
      <c r="J2" s="232"/>
      <c r="K2" s="232"/>
      <c r="L2" s="233"/>
      <c r="M2" s="233"/>
      <c r="N2" s="233"/>
      <c r="O2" s="234"/>
      <c r="Q2" s="206"/>
      <c r="R2" s="206"/>
      <c r="S2" s="206"/>
    </row>
    <row r="3" spans="3:21" ht="41.25" customHeight="1" x14ac:dyDescent="0.45">
      <c r="C3" s="520"/>
      <c r="D3" s="521"/>
      <c r="E3" s="521"/>
      <c r="F3" s="521"/>
      <c r="G3" s="235"/>
      <c r="H3" s="235"/>
      <c r="I3" s="235"/>
      <c r="J3" s="235"/>
      <c r="K3" s="235"/>
      <c r="L3" s="236"/>
      <c r="M3" s="237"/>
      <c r="N3" s="237"/>
      <c r="O3" s="238"/>
      <c r="Q3" s="206"/>
      <c r="R3" s="206"/>
      <c r="S3" s="206"/>
    </row>
    <row r="4" spans="3:21" ht="3" customHeight="1" x14ac:dyDescent="0.3">
      <c r="C4" s="207"/>
      <c r="O4" s="243"/>
    </row>
    <row r="5" spans="3:21" ht="3" customHeight="1" x14ac:dyDescent="0.3">
      <c r="C5" s="208"/>
      <c r="D5" s="209"/>
      <c r="E5" s="209"/>
      <c r="F5" s="209"/>
      <c r="G5" s="209"/>
      <c r="H5" s="209"/>
      <c r="I5" s="209"/>
      <c r="J5" s="209"/>
      <c r="K5" s="209"/>
      <c r="L5" s="209"/>
      <c r="M5" s="209"/>
      <c r="N5" s="209"/>
      <c r="O5" s="210"/>
    </row>
    <row r="6" spans="3:21" ht="15" customHeight="1" x14ac:dyDescent="0.3">
      <c r="C6" s="491" t="str">
        <f>Překlady!$A$3</f>
        <v xml:space="preserve">Klient </v>
      </c>
      <c r="D6" s="492"/>
      <c r="E6" s="492"/>
      <c r="F6" s="492"/>
      <c r="G6" s="211"/>
      <c r="I6" s="495" t="str">
        <f>Překlady!$A$15</f>
        <v>Rozmiar szafki</v>
      </c>
      <c r="J6" s="495"/>
      <c r="K6" s="495"/>
      <c r="L6" s="495"/>
      <c r="M6" s="494" t="str">
        <f>Překlady!$A$114</f>
        <v>wewnętrzne</v>
      </c>
      <c r="N6" s="494" t="str">
        <f>Překlady!$A$113</f>
        <v>kontrolne zewnętrzne</v>
      </c>
      <c r="O6" s="526"/>
    </row>
    <row r="7" spans="3:21" ht="15" customHeight="1" x14ac:dyDescent="0.3">
      <c r="C7" s="546" t="str">
        <f>Překlady!$A$137</f>
        <v>(zmianę danych można przeprowadzić na stronie wstępnej formularza)</v>
      </c>
      <c r="D7" s="547"/>
      <c r="E7" s="547"/>
      <c r="F7" s="547"/>
      <c r="G7" s="300"/>
      <c r="H7" s="221"/>
      <c r="I7" s="495"/>
      <c r="J7" s="495"/>
      <c r="K7" s="495"/>
      <c r="L7" s="495"/>
      <c r="M7" s="494"/>
      <c r="N7" s="524" t="str">
        <f>Překlady!$A$115</f>
        <v>(materiał gr. 18 mm)</v>
      </c>
      <c r="O7" s="525"/>
    </row>
    <row r="8" spans="3:21" ht="3" customHeight="1" x14ac:dyDescent="0.3">
      <c r="C8" s="222"/>
      <c r="D8" s="221"/>
      <c r="E8" s="221"/>
      <c r="F8" s="291"/>
      <c r="G8" s="291"/>
      <c r="H8" s="221"/>
      <c r="I8" s="221"/>
      <c r="J8" s="221"/>
      <c r="K8" s="221"/>
      <c r="L8" s="221"/>
      <c r="N8" s="221"/>
      <c r="O8" s="223"/>
    </row>
    <row r="9" spans="3:21" ht="19.5" customHeight="1" x14ac:dyDescent="0.3">
      <c r="C9" s="244" t="str">
        <f>Překlady!$A$4</f>
        <v>Nazwa</v>
      </c>
      <c r="D9" s="496">
        <f>Úvod!G14</f>
        <v>0</v>
      </c>
      <c r="E9" s="497"/>
      <c r="F9" s="498"/>
      <c r="G9" s="221"/>
      <c r="H9" s="221"/>
      <c r="I9" s="493" t="str">
        <f>Překlady!$A$16</f>
        <v>wysokość (mm):</v>
      </c>
      <c r="J9" s="493"/>
      <c r="K9" s="493"/>
      <c r="L9" s="493"/>
      <c r="M9" s="250"/>
      <c r="N9" s="500">
        <f>M9+36</f>
        <v>36</v>
      </c>
      <c r="O9" s="501"/>
      <c r="R9" s="212">
        <f>Titulní!B9</f>
        <v>36</v>
      </c>
      <c r="S9" s="213">
        <f>M9</f>
        <v>0</v>
      </c>
    </row>
    <row r="10" spans="3:21" ht="3" customHeight="1" x14ac:dyDescent="0.3">
      <c r="C10" s="292"/>
      <c r="D10" s="247"/>
      <c r="E10" s="247"/>
      <c r="F10" s="247"/>
      <c r="G10" s="221"/>
      <c r="H10" s="221"/>
      <c r="I10" s="246"/>
      <c r="J10" s="246"/>
      <c r="K10" s="246"/>
      <c r="L10" s="246"/>
      <c r="M10" s="246">
        <v>800</v>
      </c>
      <c r="N10" s="247"/>
      <c r="O10" s="248"/>
    </row>
    <row r="11" spans="3:21" ht="19.5" customHeight="1" x14ac:dyDescent="0.3">
      <c r="C11" s="244" t="str">
        <f>Překlady!$A$128</f>
        <v>Adres</v>
      </c>
      <c r="D11" s="496">
        <f>Úvod!G15</f>
        <v>0</v>
      </c>
      <c r="E11" s="497"/>
      <c r="F11" s="498"/>
      <c r="G11" s="221"/>
      <c r="H11" s="221"/>
      <c r="I11" s="493" t="str">
        <f>Překlady!$A$17</f>
        <v>szerokość (mm):</v>
      </c>
      <c r="J11" s="493"/>
      <c r="K11" s="493"/>
      <c r="L11" s="493"/>
      <c r="M11" s="250"/>
      <c r="N11" s="500">
        <f>M11+36</f>
        <v>36</v>
      </c>
      <c r="O11" s="501"/>
      <c r="R11" s="212">
        <f>Titulní!B11</f>
        <v>36</v>
      </c>
      <c r="S11" s="213">
        <f>M11</f>
        <v>0</v>
      </c>
    </row>
    <row r="12" spans="3:21" ht="3" customHeight="1" x14ac:dyDescent="0.3">
      <c r="C12" s="292"/>
      <c r="D12" s="247"/>
      <c r="E12" s="247"/>
      <c r="F12" s="247"/>
      <c r="G12" s="221"/>
      <c r="H12" s="221"/>
      <c r="I12" s="246"/>
      <c r="J12" s="246"/>
      <c r="K12" s="246"/>
      <c r="L12" s="246"/>
      <c r="M12" s="246"/>
      <c r="N12" s="247"/>
      <c r="O12" s="248"/>
    </row>
    <row r="13" spans="3:21" ht="19.5" customHeight="1" x14ac:dyDescent="0.3">
      <c r="C13" s="244" t="str">
        <f>Překlady!$A$7</f>
        <v>NIP</v>
      </c>
      <c r="D13" s="496">
        <f>Úvod!G16</f>
        <v>0</v>
      </c>
      <c r="E13" s="497"/>
      <c r="F13" s="498"/>
      <c r="G13" s="221"/>
      <c r="H13" s="221"/>
      <c r="I13" s="493" t="str">
        <f>IF(T13&lt;Q13,Překlady!A89,Překlady!$A$18)</f>
        <v>głębokość (mm):</v>
      </c>
      <c r="J13" s="493"/>
      <c r="K13" s="493"/>
      <c r="L13" s="493"/>
      <c r="M13" s="285"/>
      <c r="N13" s="249"/>
      <c r="O13" s="284"/>
      <c r="Q13" s="205">
        <f>IF(NAVIJENI=2,369,IF(NAVIJENI=3,290,0))</f>
        <v>0</v>
      </c>
      <c r="R13" s="212">
        <f>Titulní!B13</f>
        <v>0</v>
      </c>
      <c r="S13" s="213">
        <f>IF(T13&lt;Q13,1,0)</f>
        <v>0</v>
      </c>
      <c r="T13" s="499">
        <f>M13</f>
        <v>0</v>
      </c>
      <c r="U13" s="499"/>
    </row>
    <row r="14" spans="3:21" ht="3" customHeight="1" x14ac:dyDescent="0.3">
      <c r="C14" s="292"/>
      <c r="D14" s="247"/>
      <c r="E14" s="247"/>
      <c r="F14" s="247"/>
      <c r="G14" s="221"/>
      <c r="H14" s="221"/>
      <c r="O14" s="243"/>
    </row>
    <row r="15" spans="3:21" ht="19.5" customHeight="1" x14ac:dyDescent="0.35">
      <c r="C15" s="244" t="str">
        <f>Překlady!A126</f>
        <v>Telefon kontaktowy</v>
      </c>
      <c r="D15" s="496">
        <f>Úvod!G17</f>
        <v>0</v>
      </c>
      <c r="E15" s="497"/>
      <c r="F15" s="498"/>
      <c r="G15" s="221"/>
      <c r="H15" s="221"/>
      <c r="I15" s="495" t="str">
        <f>Překlady!$A$19</f>
        <v>Kierunek ruchu</v>
      </c>
      <c r="J15" s="495"/>
      <c r="K15" s="495"/>
      <c r="L15" s="495"/>
      <c r="M15" s="495"/>
      <c r="N15" s="495"/>
      <c r="O15" s="522"/>
    </row>
    <row r="16" spans="3:21" ht="3" customHeight="1" x14ac:dyDescent="0.3">
      <c r="C16" s="292"/>
      <c r="D16" s="247"/>
      <c r="E16" s="247"/>
      <c r="F16" s="247"/>
      <c r="G16" s="221"/>
      <c r="H16" s="221"/>
      <c r="O16" s="243"/>
    </row>
    <row r="17" spans="1:20" ht="19.5" customHeight="1" x14ac:dyDescent="0.35">
      <c r="C17" s="244" t="str">
        <f>Překlady!A127</f>
        <v>Adres e-mail</v>
      </c>
      <c r="D17" s="496">
        <f>Úvod!G18</f>
        <v>0</v>
      </c>
      <c r="E17" s="497"/>
      <c r="F17" s="498"/>
      <c r="G17" s="221"/>
      <c r="H17" s="221"/>
      <c r="I17" s="539"/>
      <c r="J17" s="539"/>
      <c r="K17" s="511"/>
      <c r="L17" s="511"/>
      <c r="M17" s="511"/>
      <c r="N17" s="511"/>
      <c r="O17" s="530"/>
    </row>
    <row r="18" spans="1:20" ht="3" customHeight="1" x14ac:dyDescent="0.3">
      <c r="C18" s="222"/>
      <c r="D18" s="221"/>
      <c r="E18" s="221"/>
      <c r="F18" s="221"/>
      <c r="G18" s="221"/>
      <c r="H18" s="221"/>
      <c r="M18" s="214"/>
      <c r="N18" s="214"/>
      <c r="O18" s="215"/>
      <c r="Q18" s="214"/>
    </row>
    <row r="19" spans="1:20" ht="19.5" customHeight="1" x14ac:dyDescent="0.35">
      <c r="C19" s="286"/>
      <c r="D19" s="293"/>
      <c r="E19" s="293"/>
      <c r="F19" s="294"/>
      <c r="G19" s="296"/>
      <c r="H19" s="221"/>
      <c r="I19" s="495" t="str">
        <f>Překlady!$A$20</f>
        <v>Typ systemu prowadzenia</v>
      </c>
      <c r="J19" s="495"/>
      <c r="K19" s="495"/>
      <c r="L19" s="495"/>
      <c r="M19" s="495"/>
      <c r="N19" s="495"/>
      <c r="O19" s="522"/>
      <c r="Q19" s="214"/>
    </row>
    <row r="20" spans="1:20" ht="3" customHeight="1" x14ac:dyDescent="0.3">
      <c r="C20" s="207"/>
      <c r="G20" s="221"/>
      <c r="H20" s="221"/>
      <c r="O20" s="243"/>
    </row>
    <row r="21" spans="1:20" ht="19.5" customHeight="1" x14ac:dyDescent="0.35">
      <c r="C21" s="244" t="str">
        <f>Překlady!$A$10</f>
        <v>Zniżka</v>
      </c>
      <c r="D21" s="231">
        <v>0</v>
      </c>
      <c r="E21" s="245" t="str">
        <f>Překlady!$A$11</f>
        <v xml:space="preserve">Ilość szt. </v>
      </c>
      <c r="F21" s="231"/>
      <c r="G21" s="301"/>
      <c r="H21" s="221"/>
      <c r="I21" s="529"/>
      <c r="J21" s="529"/>
      <c r="K21" s="511"/>
      <c r="L21" s="511"/>
      <c r="M21" s="511"/>
      <c r="N21" s="511"/>
      <c r="O21" s="530"/>
    </row>
    <row r="22" spans="1:20" ht="3" customHeight="1" x14ac:dyDescent="0.3">
      <c r="C22" s="207"/>
      <c r="G22" s="221"/>
      <c r="H22" s="221"/>
      <c r="O22" s="243"/>
    </row>
    <row r="23" spans="1:20" ht="19.5" customHeight="1" x14ac:dyDescent="0.35">
      <c r="C23" s="527" t="str">
        <f>Překlady!$A$12</f>
        <v>Przygotować żaluzje na miarę?</v>
      </c>
      <c r="D23" s="528"/>
      <c r="E23" s="555"/>
      <c r="F23" s="556"/>
      <c r="G23" s="288"/>
      <c r="H23" s="221"/>
      <c r="I23" s="495" t="str">
        <f>Překlady!$A$21</f>
        <v>Kolor</v>
      </c>
      <c r="J23" s="495"/>
      <c r="K23" s="495"/>
      <c r="L23" s="495"/>
      <c r="M23" s="495"/>
      <c r="N23" s="495"/>
      <c r="O23" s="522"/>
      <c r="Q23" s="332"/>
    </row>
    <row r="24" spans="1:20" ht="3" customHeight="1" x14ac:dyDescent="0.3">
      <c r="C24" s="222"/>
      <c r="D24" s="221"/>
      <c r="E24" s="288"/>
      <c r="F24" s="288"/>
      <c r="G24" s="288"/>
      <c r="H24" s="221"/>
      <c r="I24" s="221"/>
      <c r="J24" s="221"/>
      <c r="K24" s="221"/>
      <c r="L24" s="221"/>
      <c r="M24" s="221"/>
      <c r="N24" s="221"/>
      <c r="O24" s="223"/>
    </row>
    <row r="25" spans="1:20" ht="19.5" customHeight="1" x14ac:dyDescent="0.35">
      <c r="C25" s="527" t="str">
        <f>IF(VEDENI=5,IF(NAVIJENI&lt;3,Překlady!A90,Překlady!A14),Překlady!A14)</f>
        <v>System nawijania</v>
      </c>
      <c r="D25" s="528"/>
      <c r="E25" s="555"/>
      <c r="F25" s="556"/>
      <c r="G25" s="288"/>
      <c r="H25" s="221"/>
      <c r="I25" s="540"/>
      <c r="J25" s="540"/>
      <c r="K25" s="541"/>
      <c r="L25" s="541"/>
      <c r="M25" s="541"/>
      <c r="N25" s="541"/>
      <c r="O25" s="542"/>
    </row>
    <row r="26" spans="1:20" ht="5.25" customHeight="1" x14ac:dyDescent="0.3">
      <c r="C26" s="289"/>
      <c r="D26" s="225"/>
      <c r="E26" s="295"/>
      <c r="F26" s="295"/>
      <c r="G26" s="295"/>
      <c r="H26" s="225"/>
      <c r="I26" s="225"/>
      <c r="J26" s="225"/>
      <c r="K26" s="225"/>
      <c r="L26" s="225"/>
      <c r="M26" s="225"/>
      <c r="N26" s="225"/>
      <c r="O26" s="290"/>
    </row>
    <row r="27" spans="1:20" ht="52.5" customHeight="1" x14ac:dyDescent="0.3">
      <c r="C27" s="488" t="str">
        <f>IF(VLOOKUP(CHYBY!$Q$6,CHYBY!$L:$N,3,FALSE)=1,"",TRIM(CONCATENATE(CHYBY!U11," ",CHYBY!U12," ",CHYBY!U13," ",CHYBY!U14," ",CHYBY!U15)))</f>
        <v/>
      </c>
      <c r="D27" s="489"/>
      <c r="E27" s="489"/>
      <c r="F27" s="489"/>
      <c r="G27" s="489"/>
      <c r="H27" s="489"/>
      <c r="I27" s="489"/>
      <c r="J27" s="489"/>
      <c r="K27" s="489"/>
      <c r="L27" s="489"/>
      <c r="M27" s="489"/>
      <c r="N27" s="489"/>
      <c r="O27" s="490"/>
    </row>
    <row r="28" spans="1:20" ht="45" customHeight="1" x14ac:dyDescent="0.3">
      <c r="C28" s="488" t="str">
        <f>VLOOKUP(CHYBY!$Q$6,CHYBY!L:M,2,FALSE)</f>
        <v/>
      </c>
      <c r="D28" s="489"/>
      <c r="E28" s="489"/>
      <c r="F28" s="489"/>
      <c r="G28" s="489"/>
      <c r="H28" s="489"/>
      <c r="I28" s="489"/>
      <c r="J28" s="489"/>
      <c r="K28" s="489"/>
      <c r="L28" s="489"/>
      <c r="M28" s="489"/>
      <c r="N28" s="489"/>
      <c r="O28" s="490"/>
    </row>
    <row r="29" spans="1:20" x14ac:dyDescent="0.3">
      <c r="C29" s="533" t="str">
        <f>Překlady!$A$22</f>
        <v>Kod</v>
      </c>
      <c r="D29" s="535" t="str">
        <f>Překlady!$A$23</f>
        <v>Sortyment</v>
      </c>
      <c r="E29" s="536"/>
      <c r="F29" s="536"/>
      <c r="G29" s="537"/>
      <c r="H29" s="535" t="str">
        <f>Překlady!$A$24</f>
        <v xml:space="preserve">Ilość </v>
      </c>
      <c r="I29" s="536"/>
      <c r="J29" s="562" t="str">
        <f>Překlady!$A$107</f>
        <v>JM</v>
      </c>
      <c r="K29" s="531" t="str">
        <f>Překlady!$A$25</f>
        <v>Cena za sztukę</v>
      </c>
      <c r="L29" s="536"/>
      <c r="M29" s="531" t="str">
        <f>Překlady!$A$26</f>
        <v>Cena bez VAT</v>
      </c>
      <c r="N29" s="531" t="str">
        <f>Překlady!$A$27</f>
        <v>Kod dostawy</v>
      </c>
      <c r="O29" s="543" t="s">
        <v>1520</v>
      </c>
    </row>
    <row r="30" spans="1:20" x14ac:dyDescent="0.3">
      <c r="C30" s="534"/>
      <c r="D30" s="532"/>
      <c r="E30" s="532"/>
      <c r="F30" s="532"/>
      <c r="G30" s="538"/>
      <c r="H30" s="532"/>
      <c r="I30" s="532"/>
      <c r="J30" s="563"/>
      <c r="K30" s="532"/>
      <c r="L30" s="532"/>
      <c r="M30" s="532"/>
      <c r="N30" s="545"/>
      <c r="O30" s="544"/>
      <c r="Q30" s="205" t="s">
        <v>21</v>
      </c>
      <c r="R30" s="205" t="s">
        <v>1934</v>
      </c>
    </row>
    <row r="31" spans="1:20" ht="15.75" customHeight="1" x14ac:dyDescent="0.3">
      <c r="C31" s="559" t="str">
        <f>Překlady!$A$28</f>
        <v>Profil rolety</v>
      </c>
      <c r="D31" s="560"/>
      <c r="E31" s="560"/>
      <c r="F31" s="560"/>
      <c r="G31" s="560"/>
      <c r="H31" s="560"/>
      <c r="I31" s="560"/>
      <c r="J31" s="560"/>
      <c r="K31" s="560"/>
      <c r="L31" s="560"/>
      <c r="M31" s="560"/>
      <c r="N31" s="560"/>
      <c r="O31" s="561"/>
      <c r="T31" s="205" t="s">
        <v>1312</v>
      </c>
    </row>
    <row r="32" spans="1:20" ht="15.75" customHeight="1" x14ac:dyDescent="0.3">
      <c r="A32" s="205" t="s">
        <v>1306</v>
      </c>
      <c r="C32" s="333" t="str">
        <f>IF(VLOOKUP(CHYBY!$Q$6,CHYBY!$L:$N,3,FALSE)=1,"",výpočty!AQ5)</f>
        <v>R88309</v>
      </c>
      <c r="D32" s="551" t="str">
        <f>IF(VLOOKUP(CHYBY!$Q$6,CHYBY!$L:$N,3,FALSE)=1,"",IF(AND(VEDENI=3,BARVA=5),Překlady!A84,IF(P32=0,výpočty!AO5,CONCATENATE(výpočty!AO5," (X",P32,")"))))</f>
        <v>Roletowy profil E23 czarny (X-9)</v>
      </c>
      <c r="E32" s="551"/>
      <c r="F32" s="551"/>
      <c r="G32" s="551"/>
      <c r="H32" s="523">
        <f>IF(VLOOKUP(CHYBY!$Q$6,CHYBY!L:N,3,FALSE)=1,"",IF(výpočty!S26=2,0,
IF(SMER=1,výpočty!AR5,výpočty!AR6)))</f>
        <v>0</v>
      </c>
      <c r="I32" s="523"/>
      <c r="J32" s="275" t="str">
        <f>IF(VLOOKUP(CHYBY!$Q$6,CHYBY!$L:$N,3,FALSE)=1,"",IF(výpočty!S26=2,0,VLOOKUP(C32,výpočty!$Z$246:$AK$508,12,0)))</f>
        <v>MB</v>
      </c>
      <c r="K32" s="515">
        <f>IF(VLOOKUP(CHYBY!$Q$6,CHYBY!$L:$N,3,FALSE)=1,"",IF(výpočty!S26=2,0,výpočty!AT5))</f>
        <v>19.28388</v>
      </c>
      <c r="L32" s="507"/>
      <c r="M32" s="366">
        <f>IF(VLOOKUP(CHYBY!$Q$6,CHYBY!$L:$N,3,FALSE)=1,"",IF(výpočty!S26=2,"",IF(SMER=1,výpočty!AV5,výpočty!AV6)))</f>
        <v>0</v>
      </c>
      <c r="N32" s="276" t="str">
        <f>IF(VLOOKUP(CHYBY!$Q$6,CHYBY!$L:$N,3,FALSE)=1,"",IF(výpočty!S26=2,0,VLOOKUP(C32,výpočty!$Z$246:$AJ$508,11,0)))</f>
        <v>S72</v>
      </c>
      <c r="O32" s="297"/>
      <c r="P32" s="218">
        <f>IF(výpočty!S26=2,0,
IF(PRIPRAVA=1,Q32+R32,0))</f>
        <v>-9</v>
      </c>
      <c r="Q32" s="205">
        <f>IF(S32=0,0,IF(SMER=1,
IF('Objednávka žaluzií'!S32=1,$S$11,$S$9),
IF(S32=2,$S$11,$S$9)))</f>
        <v>0</v>
      </c>
      <c r="R32" s="205">
        <f>IF(AND(OR(VEDENI=3,VEDENI=4),NAVIJENI=3,BARVA&gt;14),-14,IF(AND(OR(VEDENI=3,VEDENI=4),NAVIJENI=3,BARVA&lt;14),-10,VLOOKUP(C32,výpočty!$AA:$AM,(5+VEDENI),0)))</f>
        <v>-9</v>
      </c>
      <c r="S32" s="205">
        <f>VLOOKUP('Objednávka žaluzií'!C32,výpočty!$AA:$AM,11,0)</f>
        <v>1</v>
      </c>
    </row>
    <row r="33" spans="1:23" ht="15.75" customHeight="1" x14ac:dyDescent="0.3">
      <c r="A33" s="205" t="s">
        <v>2141</v>
      </c>
      <c r="C33" s="277" t="str">
        <f>IF(VLOOKUP(CHYBY!$Q$6,CHYBY!$L:$N,3,FALSE)=1,"",výpočty!AQ7)</f>
        <v xml:space="preserve"> </v>
      </c>
      <c r="D33" s="558" t="str">
        <f>IF(VLOOKUP(CHYBY!$Q$6,CHYBY!$L:$N,3,FALSE)=1,"",IF(P33=0,výpočty!AO7,CONCATENATE(výpočty!AO7," (X",P33,")")))</f>
        <v xml:space="preserve"> </v>
      </c>
      <c r="E33" s="558"/>
      <c r="F33" s="558"/>
      <c r="G33" s="558"/>
      <c r="H33" s="516">
        <f>IF(VLOOKUP(CHYBY!$Q$6,CHYBY!$L:$N,3,FALSE)=1,"",IF(výpočty!S28=2,0,výpočty!AR7))</f>
        <v>0</v>
      </c>
      <c r="I33" s="516"/>
      <c r="J33" s="278">
        <f>IF(VLOOKUP(CHYBY!$Q$6,CHYBY!$L:$N,3,FALSE)=1,"",IF(výpočty!S28=2,0,VLOOKUP(C33,výpočty!$Z$246:$AK$508,12,0)))</f>
        <v>0</v>
      </c>
      <c r="K33" s="505" t="str">
        <f>IF(VLOOKUP(CHYBY!$Q$6,CHYBY!$L:$N,3,FALSE)=1,"",IF(výpočty!S28=2,0,výpočty!AT7))</f>
        <v xml:space="preserve"> </v>
      </c>
      <c r="L33" s="506"/>
      <c r="M33" s="368" t="str">
        <f>IF(VLOOKUP(CHYBY!$Q$6,CHYBY!$L:$N,3,FALSE)=1,"",IF(výpočty!S28=2,"",výpočty!AV7))</f>
        <v xml:space="preserve"> </v>
      </c>
      <c r="N33" s="279">
        <f>IF(VLOOKUP(CHYBY!$Q$6,CHYBY!$L:$N,3,FALSE)=1,"",IF(výpočty!S28=2,0,VLOOKUP(C33,výpočty!$Z$246:$AJ$508,11,0)))</f>
        <v>0</v>
      </c>
      <c r="O33" s="297"/>
      <c r="P33" s="218">
        <f>IF(výpočty!S28=2,0,
IF(PRIPRAVA=1,Q33+R33,0))</f>
        <v>0</v>
      </c>
      <c r="Q33" s="205">
        <f>IF(S33=0,0,
IF(SMER=1,
IF('Objednávka žaluzií'!S33=1,$S$11,$S$9),
IF(S33=2,$S$11,$S$9)))</f>
        <v>0</v>
      </c>
      <c r="R33" s="205">
        <f>VLOOKUP(C33,výpočty!$AA:$AM,(5+VEDENI),0)</f>
        <v>0</v>
      </c>
      <c r="S33" s="205">
        <f>VLOOKUP('Objednávka žaluzií'!C33,výpočty!$AA:$AM,11,0)</f>
        <v>0</v>
      </c>
    </row>
    <row r="34" spans="1:23" ht="15.75" customHeight="1" x14ac:dyDescent="0.3">
      <c r="C34" s="370" t="str">
        <f>Překlady!$A$29</f>
        <v xml:space="preserve">Listwa końcowa </v>
      </c>
      <c r="D34" s="371"/>
      <c r="E34" s="371"/>
      <c r="F34" s="371"/>
      <c r="G34" s="371"/>
      <c r="H34" s="371"/>
      <c r="I34" s="371"/>
      <c r="J34" s="371"/>
      <c r="K34" s="371"/>
      <c r="L34" s="371"/>
      <c r="M34" s="374">
        <v>0</v>
      </c>
      <c r="N34" s="371"/>
      <c r="O34" s="372"/>
    </row>
    <row r="35" spans="1:23" ht="15.75" customHeight="1" x14ac:dyDescent="0.3">
      <c r="A35" s="205" t="s">
        <v>9</v>
      </c>
      <c r="C35" s="333" t="str">
        <f>IF(VLOOKUP(CHYBY!$Q$6,CHYBY!$L:$N,3,FALSE)=1,"",
IF(AND(VEDENI=3,BARVA=15),výpočty!$AA$23,
IF(AND(VEDENI=3,BARVA=16),výpočty!$AA$25,
IF(VEDENI=3,výpočty!AQ13,výpočty!AQ11))))</f>
        <v>R95817</v>
      </c>
      <c r="D35" s="551" t="str">
        <f>IF(VLOOKUP(CHYBY!$Q$6,CHYBY!$L:$N,3,FALSE)=1,"",IF(P35=0,VLOOKUP(C:C,výpočty!$AA$2:$AB$245,2,FALSE),CONCATENATE(VLOOKUP(C:C,výpočty!$AA$2:$AB$245,2,FALSE)," (X",P35,")")))</f>
        <v>Listwa końcowa z uskokiem ALU dolna częś (X-28)</v>
      </c>
      <c r="E35" s="551"/>
      <c r="F35" s="551"/>
      <c r="G35" s="551"/>
      <c r="H35" s="523">
        <f>IF(VLOOKUP(CHYBY!$Q$6,CHYBY!$L:$N,3,FALSE)=1,"",IF(výpočty!S32=2,0,
IF(VEDENI=3,výpočty!AR13,
IF(SMER=1,výpočty!AR11,výpočty!AR12))))</f>
        <v>0</v>
      </c>
      <c r="I35" s="523"/>
      <c r="J35" s="275" t="str">
        <f>IF(VLOOKUP(CHYBY!$Q$6,CHYBY!$L:$N,3,FALSE)=1,"",IF(výpočty!S32=2,0,VLOOKUP(C35,výpočty!$Z$246:$AK$508,12,0)))</f>
        <v>MB</v>
      </c>
      <c r="K35" s="515">
        <f>IF(VLOOKUP(CHYBY!$Q$6,CHYBY!$L:$N,3,FALSE)=1,"",IF(výpočty!S32=2,0,IF(VEDENI=3,výpočty!AT11,výpočty!AT11)))</f>
        <v>69.139859999999999</v>
      </c>
      <c r="L35" s="507"/>
      <c r="M35" s="366">
        <f>IF(VLOOKUP(CHYBY!$Q$6,CHYBY!$L:$N,3,FALSE)=1,"",IF(výpočty!S32=2,"",K35*H35))</f>
        <v>0</v>
      </c>
      <c r="N35" s="276" t="str">
        <f>IF(VLOOKUP(CHYBY!$Q$6,CHYBY!$L:$N,3,FALSE)=1,"",IF(výpočty!S32=2,0,VLOOKUP(C35,výpočty!$Z$246:$AJ$508,11,0)))</f>
        <v>S72</v>
      </c>
      <c r="O35" s="298"/>
      <c r="P35" s="218">
        <f>IF(výpočty!S32=2,0,IF(PRIPRAVA=1,Q35+R35,0))</f>
        <v>-28</v>
      </c>
      <c r="Q35" s="205">
        <f>IF(S35=0,0,IF(SMER=1,IF('Objednávka žaluzií'!S35=1,$S$11,$S$9),IF(S35=2,$S$11,$S$9)))</f>
        <v>0</v>
      </c>
      <c r="R35" s="205">
        <f>VLOOKUP(C35,výpočty!$AA:$AM,(5+VEDENI),0)</f>
        <v>-28</v>
      </c>
      <c r="S35" s="205">
        <f>VLOOKUP('Objednávka žaluzií'!C35,výpočty!$AA:$AM,11,0)</f>
        <v>1</v>
      </c>
    </row>
    <row r="36" spans="1:23" ht="15.75" customHeight="1" x14ac:dyDescent="0.3">
      <c r="A36" s="205" t="s">
        <v>2142</v>
      </c>
      <c r="C36" s="216" t="str">
        <f>IF(VLOOKUP(CHYBY!$Q$6,CHYBY!$L:$N,3,FALSE)=1,"",IF(VEDENI=3,výpočty!AQ14," "))</f>
        <v>R96071</v>
      </c>
      <c r="D36" s="557" t="str">
        <f>IF(VLOOKUP(CHYBY!$Q$6,CHYBY!$L:$N,3,FALSE)=1,"",IF(P36=0,
IF(VEDENI=3,výpočty!AO14," "),CONCATENATE(IF(VEDENI=3,výpočty!AO14," ")," (X",P36,")")))</f>
        <v>Osłona lis.koń.z uskokiem czarna (X-28)</v>
      </c>
      <c r="E36" s="557"/>
      <c r="F36" s="557"/>
      <c r="G36" s="557"/>
      <c r="H36" s="517">
        <f>IF(VLOOKUP(CHYBY!$Q$6,CHYBY!$L:$N,3,FALSE)=1,"",IF(výpočty!S34=2,0,IF(VEDENI=3,výpočty!AR14," ")))</f>
        <v>0</v>
      </c>
      <c r="I36" s="517"/>
      <c r="J36" s="229" t="str">
        <f>IF(VLOOKUP(CHYBY!$Q$6,CHYBY!$L:$N,3,FALSE)=1,"",IF(výpočty!S34=2,0,VLOOKUP(C36,výpočty!$Z:$AK,12,0)))</f>
        <v>MB</v>
      </c>
      <c r="K36" s="512">
        <f>IF(VLOOKUP(CHYBY!$Q$6,CHYBY!$L:$N,3,FALSE)=1,"",IF(výpočty!S34=2,0,IF(VEDENI=3,výpočty!AT14," ")))</f>
        <v>26.355560000000001</v>
      </c>
      <c r="L36" s="513"/>
      <c r="M36" s="365">
        <f>IF(VLOOKUP(CHYBY!$Q$6,CHYBY!$L:$N,3,FALSE)=1,"",IF(výpočty!S34=2,"",IF(VEDENI=3,výpočty!AV14,"")))</f>
        <v>0</v>
      </c>
      <c r="N36" s="217" t="str">
        <f>IF(VLOOKUP(CHYBY!$Q$6,CHYBY!$L:$N,3,FALSE)=1,"",IF(výpočty!S34=2,0,VLOOKUP(C36,výpočty!$Z$246:$AJ$508,11,0)))</f>
        <v>S72</v>
      </c>
      <c r="O36" s="298"/>
      <c r="P36" s="218">
        <f>IF(výpočty!S34=2,0,IF(PRIPRAVA=1,Q36+R36,0))</f>
        <v>-28</v>
      </c>
      <c r="Q36" s="205">
        <f>IF(S36=0,0,IF(SMER=1,IF('Objednávka žaluzií'!S36=1,$S$11,$S$9),IF(S36=2,$S$11,$S$9)))</f>
        <v>0</v>
      </c>
      <c r="R36" s="205">
        <f>VLOOKUP(C36,výpočty!$AA:$AM,(5+VEDENI),0)</f>
        <v>-28</v>
      </c>
      <c r="S36" s="205">
        <f>VLOOKUP('Objednávka žaluzií'!C36,výpočty!$AA:$AM,11,0)</f>
        <v>1</v>
      </c>
    </row>
    <row r="37" spans="1:23" ht="15.75" customHeight="1" x14ac:dyDescent="0.3">
      <c r="A37" s="205" t="s">
        <v>2143</v>
      </c>
      <c r="C37" s="338" t="str">
        <f>IF(VLOOKUP(CHYBY!$Q$6,CHYBY!$L:$N,3,FALSE)=1,"",
IF(C35=353557,353561,
IF(AND(VEDENI=3,OR(BARVA=15,BARVA=16)),výpočty!AQ16,
IF(VEDENI=3,výpočty!AQ15,výpočty!AQ16))))</f>
        <v>R96088</v>
      </c>
      <c r="D37" s="557" t="str">
        <f>IF(VLOOKUP(CHYBY!$Q$6,CHYBY!$L:$N,3,FALSE)=1,"",VLOOKUP(C:C,výpočty!$AA$2:$AB$245,2,FALSE))</f>
        <v>Ślizgacz do R95817 czarny</v>
      </c>
      <c r="E37" s="557"/>
      <c r="F37" s="557"/>
      <c r="G37" s="557"/>
      <c r="H37" s="517">
        <f>IF(VLOOKUP(CHYBY!$Q$6,CHYBY!$L:$N,3,FALSE)=1,"",IF(výpočty!S36=2,0,IF(VEDENI=3,výpočty!AR15,výpočty!AR16)))</f>
        <v>0</v>
      </c>
      <c r="I37" s="517"/>
      <c r="J37" s="229" t="str">
        <f>IF(VLOOKUP(CHYBY!$Q$6,CHYBY!$L:$N,3,FALSE)=1,"",IF(výpočty!S36=2,0,VLOOKUP(C37,výpočty!$Z$246:$AK$508,12,0)))</f>
        <v>PAR.</v>
      </c>
      <c r="K37" s="512">
        <f>IF(VLOOKUP(CHYBY!$Q$6,CHYBY!$L:$N,3,FALSE)=1,"",
IF(výpočty!S36=2,0,
IF(VEDENI=3,výpočty!AT15,výpočty!AT16)))</f>
        <v>13.00919</v>
      </c>
      <c r="L37" s="513"/>
      <c r="M37" s="364">
        <f>IF(VLOOKUP(CHYBY!$Q$6,CHYBY!$L:$N,3,FALSE)=1,"",IF(výpočty!S36=2,"",K37*H37))</f>
        <v>0</v>
      </c>
      <c r="N37" s="217" t="str">
        <f>IF(VLOOKUP(CHYBY!$Q$6,CHYBY!$L:$N,3,FALSE)=1,"",IF(výpočty!S36=2,0,VLOOKUP(C37,výpočty!$Z$246:$AJ$508,11,0)))</f>
        <v>S72</v>
      </c>
      <c r="O37" s="298"/>
      <c r="P37" s="218">
        <f>IF(výpočty!S36=2,0,IF(PRIPRAVA=1,Q37+R37,0))</f>
        <v>0</v>
      </c>
      <c r="Q37" s="205">
        <f>IF(S37=0,0,IF(SMER=1,IF('Objednávka žaluzií'!S37=1,$S$11,$S$9),IF(S37=2,$S$11,$S$9)))</f>
        <v>0</v>
      </c>
      <c r="R37" s="205">
        <f>VLOOKUP(C37,výpočty!$AA:$AM,(5+VEDENI),0)</f>
        <v>0</v>
      </c>
      <c r="S37" s="205">
        <f>VLOOKUP('Objednávka žaluzií'!C37,výpočty!$AA:$AM,11,0)</f>
        <v>0</v>
      </c>
    </row>
    <row r="38" spans="1:23" ht="15.75" customHeight="1" x14ac:dyDescent="0.3">
      <c r="A38" s="205" t="s">
        <v>2145</v>
      </c>
      <c r="C38" s="216">
        <f>IF(VLOOKUP(CHYBY!$Q$6,CHYBY!$L:$N,3,FALSE)=1,"",IF(OR(VEDENI=5,VEDENI=3,VEDENI=4),IF(BARVA=15,výpočty!AA242,IF(BARVA=16,výpočty!AA242,0)),0))</f>
        <v>0</v>
      </c>
      <c r="D38" s="509">
        <f>IF(VLOOKUP(CHYBY!$Q$6,CHYBY!$L:$N,3,FALSE)=1,"",VLOOKUP(C38,výpočty!$AA$240:$AD$242,2,0))</f>
        <v>0</v>
      </c>
      <c r="E38" s="509"/>
      <c r="F38" s="509"/>
      <c r="G38" s="509"/>
      <c r="H38" s="517">
        <f>IF(VLOOKUP(CHYBY!$Q$6,CHYBY!$L:$N,3,FALSE)=1,"",IF(výpočty!S60=2,0,IF(C38=výpočty!AA242,2*'Objednávka žaluzií'!F21,0)))</f>
        <v>0</v>
      </c>
      <c r="I38" s="517"/>
      <c r="J38" s="229">
        <f>IF(VLOOKUP(CHYBY!$Q$6,CHYBY!$L:$N,3,FALSE)=1,"",IF(výpočty!S60=2,0,VLOOKUP(C38,výpočty!$Z$246:$AK$508,12,0)))</f>
        <v>0</v>
      </c>
      <c r="K38" s="512">
        <f>IF(VLOOKUP(CHYBY!$Q$6,CHYBY!$L:$N,3,FALSE)=1,"",IF(výpočty!S60=2,0,VLOOKUP(C38,výpočty!$AA$240:$AD$242,3,0)))</f>
        <v>0</v>
      </c>
      <c r="L38" s="513"/>
      <c r="M38" s="364">
        <f>IF(VLOOKUP(CHYBY!$Q$6,CHYBY!$L:$N,3,FALSE)=1,"",IF(výpočty!S60=2,"",H38*K38))</f>
        <v>0</v>
      </c>
      <c r="N38" s="217">
        <f>IF(VLOOKUP(CHYBY!$Q$6,CHYBY!$L:$N,3,FALSE)=1,"",IF(výpočty!S60=2,0,VLOOKUP(C38,výpočty!$Z$246:$AJ$508,11,0)))</f>
        <v>0</v>
      </c>
      <c r="O38" s="298"/>
      <c r="P38" s="218">
        <f>IF(výpočty!S57=2,0,IF(PRIPRAVA=1,Q38+R38,0))</f>
        <v>0</v>
      </c>
      <c r="Q38" s="205">
        <f>IF(S38=0,0,IF(SMER=1,IF('Objednávka žaluzií'!S38=1,$S$11,$S$9),IF(S38=2,$S$11,$S$9)))</f>
        <v>0</v>
      </c>
      <c r="R38" s="205">
        <f>VLOOKUP(C38,výpočty!$AA:$AM,(5+VEDENI),0)</f>
        <v>0</v>
      </c>
      <c r="S38" s="205">
        <f>VLOOKUP('Objednávka žaluzií'!C38,výpočty!$AA:$AM,11,0)</f>
        <v>0</v>
      </c>
    </row>
    <row r="39" spans="1:23" ht="15.75" customHeight="1" x14ac:dyDescent="0.3">
      <c r="A39" s="205" t="s">
        <v>2144</v>
      </c>
      <c r="C39" s="334" t="str">
        <f>IF(VLOOKUP(CHYBY!$Q$6,CHYBY!$L:$N,3,FALSE)=1,"",IF(BARVA=2,výpočty!AA137,
IF(BARVA=1,výpočty!AA139,
IF(BARVA=3,výpočty!AA136,
IF(BARVA=5,výpočty!AA138,
IF(BARVA=4,výpočty!AA142,
IF(BARVA=12,výpočty!AA206,0)))))))</f>
        <v>R84093</v>
      </c>
      <c r="D39" s="548" t="str">
        <f>IF(VLOOKUP(CHYBY!$Q$6,CHYBY!$L:$N,3,FALSE)=1,"",IF(P39=0,T39,
IF(T39=0,0,CONCATENATE(T39," (X",P39,")"))))</f>
        <v>Środkowa listwa uchwytowa C3-uni czar. (X-9)</v>
      </c>
      <c r="E39" s="549"/>
      <c r="F39" s="549"/>
      <c r="G39" s="550"/>
      <c r="H39" s="516">
        <f>IF(VLOOKUP(CHYBY!$Q$6,CHYBY!$L:$N,3,FALSE)=1,"",IF(výpočty!S62=2,0,IF(C39=" ",0,IF(C39=0,0,IF(VEDENI=3,výpočty!AR13,IF(SMER=1,výpočty!AR11,výpočty!AR12))))))</f>
        <v>0</v>
      </c>
      <c r="I39" s="516"/>
      <c r="J39" s="278" t="str">
        <f>IF(VLOOKUP(CHYBY!$Q$6,CHYBY!$L:$N,3,FALSE)=1,"",IF(výpočty!S62=2,0,VLOOKUP(C39,výpočty!Z247:AK508,12,0)))</f>
        <v>MB</v>
      </c>
      <c r="K39" s="505">
        <f>IF(VLOOKUP(CHYBY!$Q$6,CHYBY!$L:$N,3,FALSE)=1,"",IF(výpočty!S62=2,0,VLOOKUP(C39,výpočty!AA3:AC242,3,0)))</f>
        <v>42.180149999999998</v>
      </c>
      <c r="L39" s="506"/>
      <c r="M39" s="368">
        <f>IF(VLOOKUP(CHYBY!$Q$6,CHYBY!$L:$N,3,FALSE)=1,"",IF(C39=0,"",IF(výpočty!S62=2,"",H39*K39)))</f>
        <v>0</v>
      </c>
      <c r="N39" s="279" t="str">
        <f>IF(VLOOKUP(CHYBY!$Q$6,CHYBY!$L:$N,3,FALSE)=1,"",IF(výpočty!S62=2,0,VLOOKUP(C39,výpočty!$Z$246:$AJ$508,11,0)))</f>
        <v>S72</v>
      </c>
      <c r="O39" s="298"/>
      <c r="P39" s="218">
        <f>IF(výpočty!S62=2,0,IF(PRIPRAVA=1,Q39+R39,0))</f>
        <v>-9</v>
      </c>
      <c r="Q39" s="205">
        <f>IF(S39=0,0,IF(SMER=1,IF('Objednávka žaluzií'!S39=1,$S$11,$S$9),IF(S39=2,$S$11,$S$9)))</f>
        <v>0</v>
      </c>
      <c r="R39" s="205">
        <f>IF(AND(OR(VEDENI=3,VEDENI=4),NAVIJENI=3,BARVA&gt;14),-14,IF(AND(OR(VEDENI=3,VEDENI=4),NAVIJENI=3,BARVA&lt;14),-10,VLOOKUP(C39,výpočty!$AA:$AM,(5+VEDENI),0)))</f>
        <v>-9</v>
      </c>
      <c r="S39" s="205">
        <f>VLOOKUP('Objednávka žaluzií'!C39,výpočty!$AA:$AM,11,0)</f>
        <v>1</v>
      </c>
      <c r="T39" s="509" t="str">
        <f>VLOOKUP(C39,výpočty!AA3:AB242,2,0)</f>
        <v>Środkowa listwa uchwytowa C3-uni czar.</v>
      </c>
      <c r="U39" s="509"/>
      <c r="V39" s="509"/>
      <c r="W39" s="509"/>
    </row>
    <row r="40" spans="1:23" ht="15.75" customHeight="1" x14ac:dyDescent="0.3">
      <c r="C40" s="370" t="str">
        <f>Překlady!$A$30</f>
        <v>Listwa maskująca</v>
      </c>
      <c r="D40" s="371"/>
      <c r="E40" s="371"/>
      <c r="F40" s="371"/>
      <c r="G40" s="371"/>
      <c r="H40" s="371"/>
      <c r="I40" s="371"/>
      <c r="J40" s="371"/>
      <c r="K40" s="371"/>
      <c r="L40" s="371"/>
      <c r="M40" s="374">
        <v>0</v>
      </c>
      <c r="N40" s="371"/>
      <c r="O40" s="372"/>
    </row>
    <row r="41" spans="1:23" ht="15.75" customHeight="1" x14ac:dyDescent="0.3">
      <c r="A41" s="205" t="s">
        <v>8</v>
      </c>
      <c r="C41" s="333" t="str">
        <f>IF(VLOOKUP(CHYBY!$Q$6,CHYBY!$L:$N,3,FALSE)=1,"",IF(VEDENI=5,
IF(BARVA&lt;12,
výpočty!AA39,T41),T41))</f>
        <v>R95820</v>
      </c>
      <c r="D41" s="551" t="str">
        <f>IF(VLOOKUP(CHYBY!$Q$6,CHYBY!$L:$N,3,FALSE)=1,"",IF(P41=0,
IF(C41=výpočty!AA39,výpočty!AB39,
IF(VEDENI=3,výpočty!AO24,
IF(VEDENI=5,výpočty!AO26,výpočty!AO22))),CONCATENATE(IF(C41=výpočty!AA39,výpočty!AB39,IF(VEDENI=3,výpočty!AO24,IF(VEDENI=5,výpočty!AO26,výpočty!AO22)))," (X",P41,")")))</f>
        <v>Listwa maskująca z uskokiem ALU-dolna cz (X-24)</v>
      </c>
      <c r="E41" s="551"/>
      <c r="F41" s="551"/>
      <c r="G41" s="551"/>
      <c r="H41" s="523">
        <f>IF(VLOOKUP(CHYBY!$Q$6,CHYBY!$L:$N,3,FALSE)=1,"",IF(výpočty!S39=2,0,IF(VEDENI=3,výpočty!AR24,IF(VEDENI=5,výpočty!AR26,IF(SMER=1,výpočty!AR22,výpočty!AR23)))))</f>
        <v>0</v>
      </c>
      <c r="I41" s="523"/>
      <c r="J41" s="275" t="str">
        <f>IF(VLOOKUP(CHYBY!$Q$6,CHYBY!$L:$N,3,FALSE)=1,"",IF(výpočty!S39=2,0,VLOOKUP(C41,výpočty!$Z$246:$AK$508,12,0)))</f>
        <v>MB</v>
      </c>
      <c r="K41" s="515">
        <f>IF(VLOOKUP(CHYBY!$Q$6,CHYBY!$L:$N,3,FALSE)=1,"",IF(výpočty!S39=2,0,IF(C41=výpočty!AA39,výpočty!AC39,(IF(VEDENI=3,výpočty!AT24,IF(VEDENI=5,výpočty!AT26,výpočty!AT22))))))</f>
        <v>98.007369999999995</v>
      </c>
      <c r="L41" s="507"/>
      <c r="M41" s="366">
        <f>IF(VLOOKUP(CHYBY!$Q$6,CHYBY!$L:$N,3,FALSE)=1,"",IF(výpočty!S39=2,"",K41*H41))</f>
        <v>0</v>
      </c>
      <c r="N41" s="276" t="str">
        <f>IF(VLOOKUP(CHYBY!$Q$6,CHYBY!$L:$N,3,FALSE)=1,"",IF(výpočty!S39=2,0,VLOOKUP(C41,výpočty!$Z$246:$AJ$508,11,0)))</f>
        <v>S72</v>
      </c>
      <c r="O41" s="297"/>
      <c r="P41" s="218">
        <f>IF(výpočty!S39=2,0,IF(PRIPRAVA=1,Q41+R41,0))</f>
        <v>-24</v>
      </c>
      <c r="Q41" s="205">
        <f>IF(S41=0,0,IF(SMER=1,IF('Objednávka žaluzií'!S41=1,$S$11,$S$9),IF(S41=2,$S$11,$S$9)))</f>
        <v>0</v>
      </c>
      <c r="R41" s="205">
        <f>VLOOKUP(C41,výpočty!$AA:$AM,(5+VEDENI),0)</f>
        <v>-24</v>
      </c>
      <c r="S41" s="205">
        <f>VLOOKUP('Objednávka žaluzií'!C41,výpočty!$AA:$AM,11,0)</f>
        <v>1</v>
      </c>
      <c r="T41" s="205" t="str">
        <f>IF(VEDENI=3,výpočty!AQ24,
IF(VEDENI=5,výpočty!AQ26,výpočty!AQ22))</f>
        <v>R95820</v>
      </c>
    </row>
    <row r="42" spans="1:23" ht="15.75" customHeight="1" x14ac:dyDescent="0.3">
      <c r="A42" s="205" t="s">
        <v>2146</v>
      </c>
      <c r="C42" s="277" t="str">
        <f>IF(VLOOKUP(CHYBY!$Q$6,CHYBY!$L:$N,3,FALSE)=1,"",IF(VEDENI=3,výpočty!AQ25," "))</f>
        <v>R96080</v>
      </c>
      <c r="D42" s="558" t="str">
        <f>IF(VLOOKUP(CHYBY!$Q$6,CHYBY!$L:$N,3,FALSE)=1,"",IF(P42=0,
IF(VEDENI=3,výpočty!AO25," "),CONCATENATE(IF(VEDENI=3,výpočty!AO25," ")," (X",P42,")")))</f>
        <v>Osłona listwy mask. z uskokiem-uni czarn (X-24)</v>
      </c>
      <c r="E42" s="558"/>
      <c r="F42" s="558"/>
      <c r="G42" s="558"/>
      <c r="H42" s="516">
        <f>IF(VLOOKUP(CHYBY!$Q$6,CHYBY!$L:$N,3,FALSE)=1,"",IF(výpočty!S41=2,0,IF(VEDENI=3,výpočty!AR25," ")))</f>
        <v>0</v>
      </c>
      <c r="I42" s="516"/>
      <c r="J42" s="278" t="str">
        <f>IF(VLOOKUP(CHYBY!$Q$6,CHYBY!$L:$N,3,FALSE)=1,"",IF(výpočty!S41=2,0,VLOOKUP(C42,výpočty!$Z$246:$AK$508,12,0)))</f>
        <v>MB</v>
      </c>
      <c r="K42" s="505">
        <f>IF(VLOOKUP(CHYBY!$Q$6,CHYBY!$L:$N,3,FALSE)=1,"",IF(výpočty!S41=2,0,IF(VEDENI=3,výpočty!AT25," ")))</f>
        <v>27.027149999999999</v>
      </c>
      <c r="L42" s="506"/>
      <c r="M42" s="369">
        <f>IF(VLOOKUP(CHYBY!$Q$6,CHYBY!$L:$N,3,FALSE)=1,"",IF(výpočty!S41=2,"",IF(VEDENI=3,výpočty!AV25,"")))</f>
        <v>0</v>
      </c>
      <c r="N42" s="279" t="str">
        <f>IF(VLOOKUP(CHYBY!$Q$6,CHYBY!$L:$N,3,FALSE)=1,"",IF(výpočty!S41=2,0,VLOOKUP(C42,výpočty!$Z$246:$AJ$508,11,0)))</f>
        <v>S72</v>
      </c>
      <c r="O42" s="297"/>
      <c r="P42" s="218">
        <f>IF(výpočty!S41=2,0,IF(PRIPRAVA=1,Q42+R42,0))</f>
        <v>-24</v>
      </c>
      <c r="Q42" s="205">
        <f>IF(S42=0,0,IF(SMER=1,IF('Objednávka žaluzií'!S42=1,$S$11,$S$9),IF(S42=2,$S$11,$S$9)))</f>
        <v>0</v>
      </c>
      <c r="R42" s="205">
        <f>VLOOKUP(C42,výpočty!$AA:$AM,(5+VEDENI),0)</f>
        <v>-24</v>
      </c>
      <c r="S42" s="205">
        <f>VLOOKUP('Objednávka žaluzií'!C42,výpočty!$AA:$AM,11,0)</f>
        <v>1</v>
      </c>
    </row>
    <row r="43" spans="1:23" ht="15.75" customHeight="1" x14ac:dyDescent="0.3">
      <c r="C43" s="370" t="str">
        <f>Překlady!$A$31</f>
        <v>Listwa torowa</v>
      </c>
      <c r="D43" s="371"/>
      <c r="E43" s="371"/>
      <c r="F43" s="371"/>
      <c r="G43" s="371"/>
      <c r="H43" s="371"/>
      <c r="I43" s="371"/>
      <c r="J43" s="371"/>
      <c r="K43" s="371"/>
      <c r="L43" s="371"/>
      <c r="M43" s="374">
        <v>0</v>
      </c>
      <c r="N43" s="371"/>
      <c r="O43" s="372"/>
    </row>
    <row r="44" spans="1:23" ht="15.75" customHeight="1" x14ac:dyDescent="0.3">
      <c r="A44" s="205" t="s">
        <v>374</v>
      </c>
      <c r="C44" s="274" t="str">
        <f>IF(VLOOKUP(CHYBY!$Q$6,CHYBY!$L:$N,3,FALSE)=1,"",IF(VEDENI=2,
IF(NAVIJENI=3,Překlady!$A$84,výpočty!AQ41),
IF(VEDENI=5," ",
IF(VEDENI&gt;2,
IF(NAVIJENI&gt;1," ",výpočty!AQ30),výpočty!AQ30))))</f>
        <v>R92823</v>
      </c>
      <c r="D44" s="551" t="str">
        <f>IF(VLOOKUP(CHYBY!$Q$6,CHYBY!$L:$N,3,FALSE)=1,"",
IF(P44=0,
IF(VEDENI=2,
IF(NAVIJENI=3,Překlady!$A$84,výpočty!AO41),
IF(VEDENI=5," ",
IF(VEDENI&gt;2,
IF(NAVIJENI&gt;1," ",výpočty!AO30),výpočty!AO30))),CONCATENATE(IF(VEDENI=2,
IF(NAVIJENI=3,Překlady!$A$84,výpočty!AO41),
IF(VEDENI=5," ",
IF(VEDENI&gt;2,IF(NAVIJENI&gt;1," ",výpočty!AO30),výpočty!AO30)))," (X",P44,")")))</f>
        <v>Listwa tor. na wkręt czarna</v>
      </c>
      <c r="E44" s="551"/>
      <c r="F44" s="551"/>
      <c r="G44" s="551"/>
      <c r="H44" s="523">
        <f>IF(VLOOKUP(CHYBY!$Q$6,CHYBY!$L:$N,3,FALSE)=1,"",IF(výpočty!S43=2,0,IF(VEDENI&lt;3,IF(NAVIJENI=1,výpočty!AR30,výpočty!AR32),IF(VEDENI=5," ",IF(VEDENI&gt;2,IF(NAVIJENI&gt;1," ",výpočty!AR32),výpočty!AR32)))))</f>
        <v>0</v>
      </c>
      <c r="I44" s="523"/>
      <c r="J44" s="275" t="str">
        <f>IF(VLOOKUP(CHYBY!$Q$6,CHYBY!$L:$N,3,FALSE)=1,"",IF(výpočty!S43=2,0,VLOOKUP(C44,výpočty!$Z$246:$AK$508,12,0)))</f>
        <v>MB</v>
      </c>
      <c r="K44" s="507">
        <f>IF(VLOOKUP(CHYBY!$Q$6,CHYBY!$L:$N,3,FALSE)=1,"",IF(výpočty!S43=2,0,IF(VEDENI=2,IF(NAVIJENI=3," ",výpočty!AT41),IF(VEDENI=5," ",IF(VEDENI&gt;2,IF(NAVIJENI&gt;1," ",výpočty!AT30),výpočty!AT30)))))</f>
        <v>20.510159999999999</v>
      </c>
      <c r="L44" s="507"/>
      <c r="M44" s="367">
        <f>IF(VLOOKUP(CHYBY!$Q$6,CHYBY!$L:$N,3,FALSE)=1,"",IF(C44=Překlady!$A$84,J44,IF(výpočty!S43=2,"",IF(VEDENI=2,IF(NAVIJENI=3,"",H44*K44),IF(VEDENI=5,"",IF(VEDENI&gt;2,IF(NAVIJENI&gt;1,"",H44*K44),H44*K44))))))</f>
        <v>0</v>
      </c>
      <c r="N44" s="276" t="str">
        <f>IF(VLOOKUP(CHYBY!$Q$6,CHYBY!$L:$N,3,FALSE)=1,"",IF(výpočty!S43=2,0,VLOOKUP(C44,výpočty!$Z$246:$AJ$508,11,0)))</f>
        <v>S72</v>
      </c>
      <c r="O44" s="297"/>
      <c r="P44" s="218">
        <f>IF(výpočty!S43=2,0,IF(PRIPRAVA=1,Q44+R44,0))</f>
        <v>0</v>
      </c>
      <c r="Q44" s="205">
        <f>IF(S44=0,0,IF(SMER=1,IF('Objednávka žaluzií'!S44=1,$S$11,$S$9),IF(S44=2,$S$11,$S$9)))</f>
        <v>0</v>
      </c>
      <c r="R44" s="205">
        <f>VLOOKUP(C44,výpočty!$AA:$AM,(5+VEDENI),0)</f>
        <v>0</v>
      </c>
      <c r="S44" s="205">
        <f>VLOOKUP('Objednávka žaluzií'!C44,výpočty!$AA:$AM,11,0)</f>
        <v>2</v>
      </c>
    </row>
    <row r="45" spans="1:23" ht="15.75" customHeight="1" x14ac:dyDescent="0.3">
      <c r="A45" s="205" t="s">
        <v>2147</v>
      </c>
      <c r="C45" s="216" t="str">
        <f>IF(VLOOKUP(CHYBY!$Q$6,CHYBY!$L:$N,3,FALSE)=1,"",IF(C25=Překlady!A90,"chyba",
IF(VEDENI&gt;2,výpočty!AQ52," ")))</f>
        <v>R95818</v>
      </c>
      <c r="D45" s="509" t="str">
        <f>IF(VLOOKUP(CHYBY!$Q$6,CHYBY!$L:$N,3,FALSE)=1,"",IF(P45=0,IF(VEDENI&gt;2,výpočty!AO52," "),CONCATENATE(IF(VEDENI&gt;2,výpočty!AO52," ")," (X",P45,")")))</f>
        <v>Listwa tor.Frame-dol.część, ALU 230L (X-65)</v>
      </c>
      <c r="E45" s="509"/>
      <c r="F45" s="509"/>
      <c r="G45" s="509"/>
      <c r="H45" s="508">
        <f>IF(VLOOKUP(CHYBY!$Q$6,CHYBY!$L:$N,3,FALSE)=1,"",IF(výpočty!S45=2,0,IF(VEDENI&gt;2,výpočty!AR52," ")))</f>
        <v>0</v>
      </c>
      <c r="I45" s="508"/>
      <c r="J45" s="229" t="str">
        <f>IF(VLOOKUP(CHYBY!$Q$6,CHYBY!$L:$N,3,FALSE)=1,"",IF(výpočty!S45=2,0,VLOOKUP(C45,výpočty!$Z$246:$AK$508,12,0)))</f>
        <v>MB</v>
      </c>
      <c r="K45" s="514">
        <f>IF(VLOOKUP(CHYBY!$Q$6,CHYBY!$L:$N,3,FALSE)=1,"",IF(výpočty!S45=2,0,IF(VEDENI&gt;2,výpočty!AT52," ")))</f>
        <v>108.78563</v>
      </c>
      <c r="L45" s="514"/>
      <c r="M45" s="365">
        <f>IF(VLOOKUP(CHYBY!$Q$6,CHYBY!$L:$N,3,FALSE)=1,"",IF(C25=Překlady!A90,D45,IF(výpočty!S45=2,"",IF(VEDENI&gt;2,výpočty!AV52,""))))</f>
        <v>0</v>
      </c>
      <c r="N45" s="217" t="str">
        <f>IF(VLOOKUP(CHYBY!$Q$6,CHYBY!$L:$N,3,FALSE)=1,"",IF(výpočty!S45=2,0,VLOOKUP(C45,výpočty!$Z$246:$AJ$508,11,0)))</f>
        <v>S72</v>
      </c>
      <c r="O45" s="297"/>
      <c r="P45" s="218">
        <f>IF(výpočty!S45=2,0,IF(PRIPRAVA=1,Q45+R45,0))</f>
        <v>-65</v>
      </c>
      <c r="Q45" s="205">
        <f>IF(S45=0,0,IF(SMER=1,IF('Objednávka žaluzií'!S45=1,$S$11,$S$9),IF(S45=2,$S$11,$S$9)))</f>
        <v>0</v>
      </c>
      <c r="R45" s="205">
        <f>VLOOKUP(C45,výpočty!$AA:$AM,(5+VEDENI),0)</f>
        <v>-65</v>
      </c>
      <c r="S45" s="205">
        <f>VLOOKUP('Objednávka žaluzií'!C45,výpočty!$AA:$AM,11,0)</f>
        <v>2</v>
      </c>
    </row>
    <row r="46" spans="1:23" ht="15.75" customHeight="1" x14ac:dyDescent="0.3">
      <c r="A46" s="205" t="s">
        <v>2148</v>
      </c>
      <c r="C46" s="338" t="str">
        <f>IF(VLOOKUP(CHYBY!$Q$6,CHYBY!$L:$N,3,FALSE)=1,"",IF(VEDENI&gt;2,výpočty!AQ53," "))</f>
        <v>R95832</v>
      </c>
      <c r="D46" s="509" t="str">
        <f>IF(VLOOKUP(CHYBY!$Q$6,CHYBY!$L:$N,3,FALSE)=1,"",IF(P46=0,IF(VEDENI&gt;2,výpočty!AO53," "),CONCATENATE(IF(VEDENI&gt;2,výpočty!AO53," ")," (X",P46,")")))</f>
        <v>Profil kryjący Frame czar. (X24)</v>
      </c>
      <c r="E46" s="509"/>
      <c r="F46" s="509"/>
      <c r="G46" s="509"/>
      <c r="H46" s="508">
        <f>IF(VLOOKUP(CHYBY!$Q$6,CHYBY!$L:$N,3,FALSE)=1,"",IF(výpočty!S47=2,0,IF(VEDENI&gt;2,výpočty!AR53," ")))</f>
        <v>0</v>
      </c>
      <c r="I46" s="508"/>
      <c r="J46" s="229" t="str">
        <f>IF(VLOOKUP(CHYBY!$Q$6,CHYBY!$L:$N,3,FALSE)=1,"",IF(výpočty!S47=2,0,VLOOKUP(C46,výpočty!$Z$246:$AK$508,12,0)))</f>
        <v>MB</v>
      </c>
      <c r="K46" s="514">
        <f>IF(VLOOKUP(CHYBY!$Q$6,CHYBY!$L:$N,3,FALSE)=1,"",IF(výpočty!S47=2,0,IF(VEDENI&gt;2,výpočty!AT53," ")))</f>
        <v>23.981380000000001</v>
      </c>
      <c r="L46" s="514"/>
      <c r="M46" s="365">
        <f>IF(VLOOKUP(CHYBY!$Q$6,CHYBY!$L:$N,3,FALSE)=1,"",IF(výpočty!S47=2,"",IF(VEDENI&gt;2,výpočty!AV53,"")))</f>
        <v>0</v>
      </c>
      <c r="N46" s="217" t="str">
        <f>IF(VLOOKUP(CHYBY!$Q$6,CHYBY!$L:$N,3,FALSE)=1,"",IF(výpočty!S47=2,0,VLOOKUP(C46,výpočty!$Z$246:$AJ$508,11,0)))</f>
        <v>S72</v>
      </c>
      <c r="O46" s="297"/>
      <c r="P46" s="218">
        <f>IF(výpočty!S47=2,0,IF(PRIPRAVA=1,Q46+R46,0))</f>
        <v>24</v>
      </c>
      <c r="Q46" s="205">
        <f>IF(S46=0,0,IF(SMER=1,IF('Objednávka žaluzií'!S46=1,$S$11,$S$9),IF(S46=2,$S$11,$S$9)))</f>
        <v>0</v>
      </c>
      <c r="R46" s="205">
        <f>VLOOKUP(C46,výpočty!$AA:$AM,(5+VEDENI),0)</f>
        <v>24</v>
      </c>
      <c r="S46" s="205">
        <f>VLOOKUP('Objednávka žaluzií'!C46,výpočty!$AA:$AM,11,0)</f>
        <v>2</v>
      </c>
    </row>
    <row r="47" spans="1:23" ht="15.75" customHeight="1" x14ac:dyDescent="0.3">
      <c r="A47" s="205" t="s">
        <v>2149</v>
      </c>
      <c r="C47" s="216" t="str">
        <f>IF(VLOOKUP(CHYBY!$Q$6,CHYBY!$L:$N,3,FALSE)=1,"",IF(VEDENI&gt;2,výpočty!AQ54," "))</f>
        <v>R95840</v>
      </c>
      <c r="D47" s="509" t="str">
        <f>IF(VLOOKUP(CHYBY!$Q$6,CHYBY!$L:$N,3,FALSE)=1,"",IF(P47=0,IF(VEDENI&gt;2,výpočty!AO54," "),CONCATENATE(IF(VEDENI&gt;2,výpočty!AO54," ")," (X",P47,")")))</f>
        <v>Zaślepka Frame czarna</v>
      </c>
      <c r="E47" s="509"/>
      <c r="F47" s="509"/>
      <c r="G47" s="509"/>
      <c r="H47" s="508">
        <f>IF(VLOOKUP(CHYBY!$Q$6,CHYBY!$L:$N,3,FALSE)=1,"",IF(výpočty!S49=2,0,IF(VEDENI&gt;2,výpočty!AR54," ")))</f>
        <v>0</v>
      </c>
      <c r="I47" s="508"/>
      <c r="J47" s="229" t="str">
        <f>IF(VLOOKUP(CHYBY!$Q$6,CHYBY!$L:$N,3,FALSE)=1,"",IF(výpočty!S49=2,0,VLOOKUP(C47,výpočty!$Z$246:$AK$508,12,0)))</f>
        <v>KOMP.</v>
      </c>
      <c r="K47" s="514">
        <f>IF(VLOOKUP(CHYBY!$Q$6,CHYBY!$L:$N,3,FALSE)=1,"",IF(výpočty!S49=2,0,IF(VEDENI&gt;2,výpočty!AT54," ")))</f>
        <v>27.88409</v>
      </c>
      <c r="L47" s="514"/>
      <c r="M47" s="365">
        <f>IF(VLOOKUP(CHYBY!$Q$6,CHYBY!$L:$N,3,FALSE)=1,"",IF(výpočty!S49=2,"",IF(VEDENI&gt;2,výpočty!AV54,"")))</f>
        <v>0</v>
      </c>
      <c r="N47" s="217" t="str">
        <f>IF(VLOOKUP(CHYBY!$Q$6,CHYBY!$L:$N,3,FALSE)=1,"",IF(výpočty!S49=2,0,VLOOKUP(C47,výpočty!$Z$246:$AJ$508,11,0)))</f>
        <v>S72</v>
      </c>
      <c r="O47" s="297"/>
      <c r="P47" s="218">
        <f>IF(výpočty!S49=2,0,IF(PRIPRAVA=1,Q47+R47,0))</f>
        <v>0</v>
      </c>
      <c r="Q47" s="205">
        <f>IF(S47=0,0,IF(SMER=1,IF('Objednávka žaluzií'!S47=1,$S$11,$S$9),IF(S47=2,$S$11,$S$9)))</f>
        <v>0</v>
      </c>
      <c r="R47" s="205">
        <f>VLOOKUP(C47,výpočty!$AA:$AM,(5+VEDENI),0)</f>
        <v>0</v>
      </c>
      <c r="S47" s="205">
        <f>VLOOKUP('Objednávka žaluzií'!C47,výpočty!$AA:$AM,11,0)</f>
        <v>0</v>
      </c>
    </row>
    <row r="48" spans="1:23" ht="15.75" customHeight="1" x14ac:dyDescent="0.3">
      <c r="A48" s="205" t="s">
        <v>2149</v>
      </c>
      <c r="C48" s="216">
        <f>IF(VLOOKUP(CHYBY!$Q$6,CHYBY!$L:$N,3,FALSE)=1,"",IF(C47=výpočty!AA197,výpočty!AA235,IF(C47=výpočty!AA198,výpočty!AA236,0)))</f>
        <v>0</v>
      </c>
      <c r="D48" s="509">
        <f>IF(VLOOKUP(CHYBY!$Q$6,CHYBY!$L:$N,3,FALSE)=1,"",IF(P48=0,IF(C48=0,0,VLOOKUP('Objednávka žaluzií'!C48,výpočty!$AA$235:$AD$236,2,0)),CONCATENATE(IF(C48=0,0,VLOOKUP('Objednávka žaluzií'!C48,výpočty!$AA$235:$AD$236,2,0))," (X",P48,")")))</f>
        <v>0</v>
      </c>
      <c r="E48" s="509"/>
      <c r="F48" s="509"/>
      <c r="G48" s="509"/>
      <c r="H48" s="517">
        <f>IF(VLOOKUP(CHYBY!$Q$6,CHYBY!$L:$N,3,FALSE)=1,"",IF(výpočty!S55=2,0,IF(C48=0,0,IF(VEDENI&gt;2,výpočty!AR54," "))))</f>
        <v>0</v>
      </c>
      <c r="I48" s="517"/>
      <c r="J48" s="229">
        <f>IF(VLOOKUP(CHYBY!$Q$6,CHYBY!$L:$N,3,FALSE)=1,"",IF(výpočty!S55=2,0,VLOOKUP(C48,výpočty!$Z$246:$AK$508,12,0)))</f>
        <v>0</v>
      </c>
      <c r="K48" s="512">
        <f>IF(VLOOKUP(CHYBY!$Q$6,CHYBY!$L:$N,3,FALSE)=1,"",IF(C48=0,0,IF(výpočty!S55=2,0,VLOOKUP(C48,výpočty!AA235:AD236,3,0))))</f>
        <v>0</v>
      </c>
      <c r="L48" s="513"/>
      <c r="M48" s="364">
        <f>IF(VLOOKUP(CHYBY!$Q$6,CHYBY!$L:$N,3,FALSE)=1,"",IF(výpočty!S55=2,"",H48*K48))</f>
        <v>0</v>
      </c>
      <c r="N48" s="217">
        <f>IF(VLOOKUP(CHYBY!$Q$6,CHYBY!$L:$N,3,FALSE)=1,"",IF(výpočty!S55=2,0,VLOOKUP(C48,výpočty!$Z$246:$AJ$508,11,0)))</f>
        <v>0</v>
      </c>
      <c r="O48" s="223"/>
      <c r="P48" s="218">
        <f>IF(výpočty!S55=2,0,IF(PRIPRAVA=1,Q48+R48,0))</f>
        <v>0</v>
      </c>
      <c r="Q48" s="205">
        <f>IF(S48=0,0,IF(SMER=1,IF('Objednávka žaluzií'!S48=1,$S$11,$S$9),IF(S48=2,$S$11,$S$9)))</f>
        <v>0</v>
      </c>
      <c r="R48" s="205">
        <f>VLOOKUP(C48,výpočty!$AA:$AM,(5+VEDENI),0)</f>
        <v>0</v>
      </c>
      <c r="S48" s="205">
        <f>VLOOKUP('Objednávka žaluzií'!C48,výpočty!$AA:$AM,11,0)</f>
        <v>0</v>
      </c>
    </row>
    <row r="49" spans="1:39" ht="15.75" customHeight="1" x14ac:dyDescent="0.3">
      <c r="A49" s="205" t="s">
        <v>2150</v>
      </c>
      <c r="C49" s="222" t="str">
        <f>IF(VLOOKUP(CHYBY!$Q$6,CHYBY!$L:$N,3,FALSE)=1,"",IF(AI49=výpočty!AA172,IF(BARVA=3,výpočty!AA173,IF(BARVA=4,výpočty!AA173,IF(BARVA=12,výpočty!AA173,IF(BARVA=13,výpočty!AA173,AI49)))),AI49))</f>
        <v>R95799</v>
      </c>
      <c r="D49" s="502" t="str">
        <f>IF(VLOOKUP(CHYBY!$Q$6,CHYBY!$L:$N,3,FALSE)=1,"",IF(C49=výpočty!AA173,výpočty!AB173,AJ49))</f>
        <v>Róg list.tor. 90 °  Top/Frame</v>
      </c>
      <c r="E49" s="503"/>
      <c r="F49" s="503"/>
      <c r="G49" s="221"/>
      <c r="H49" s="517">
        <f>IF(VLOOKUP(CHYBY!$Q$6,CHYBY!$L:$N,3,FALSE)=1,"",IF(AI49=Překlady!A84,Překlady!A84,IF(výpočty!S51=2,0,IF(NAVIJENI=1,4*$F$21,1*$F$21))))</f>
        <v>0</v>
      </c>
      <c r="I49" s="517"/>
      <c r="J49" s="229" t="str">
        <f>IF(VLOOKUP(CHYBY!$Q$6,CHYBY!$L:$N,3,FALSE)=1,"",IF(výpočty!S51=2,0,VLOOKUP(AI49,výpočty!$Z$246:$AK$508,12,0)))</f>
        <v>SZT.</v>
      </c>
      <c r="K49" s="512">
        <f>IF(VLOOKUP(CHYBY!$Q$6,CHYBY!$L:$N,3,FALSE)=1,"",IF(výpočty!S51=2,0,IF(NAVIJENI=1,IF(VEDENI=1,výpočty!AT31,IF(VEDENI=2,výpočty!AT42,výpočty!AT56)),IF(NAVIJENI=2,IF(VEDENI&lt;3,výpočty!AT35,výpočty!AT55),výpočty!AT36))))</f>
        <v>6.6591399999999998</v>
      </c>
      <c r="L49" s="513"/>
      <c r="M49" s="364">
        <f>IF(VLOOKUP(CHYBY!$Q$6,CHYBY!$L:$N,3,FALSE)=1,"",IF(výpočty!S51=2,"",K49*H49))</f>
        <v>0</v>
      </c>
      <c r="N49" s="217" t="str">
        <f>IF(VLOOKUP(CHYBY!$Q$6,CHYBY!$L:$N,3,FALSE)=1,"",IF(výpočty!S51=2,0,VLOOKUP(Y49,výpočty!$Z$246:$AJ$508,11,0)))</f>
        <v>S72</v>
      </c>
      <c r="O49" s="297"/>
      <c r="P49" s="218">
        <f>IF(výpočty!S51=2,0,IF(PRIPRAVA=1,Q49+R49,0))</f>
        <v>0</v>
      </c>
      <c r="Q49" s="205">
        <f>IF(S49=0,0,IF(SMER=1,IF('Objednávka žaluzií'!S49=1,$S$11,$S$9),IF(S49=2,$S$11,$S$9)))</f>
        <v>0</v>
      </c>
      <c r="R49" s="205">
        <f>VLOOKUP(C49,výpočty!$AA:$AM,(5+VEDENI),0)</f>
        <v>0</v>
      </c>
      <c r="S49" s="205">
        <f>VLOOKUP('Objednávka žaluzií'!C49,výpočty!$AA:$AM,11,0)</f>
        <v>0</v>
      </c>
      <c r="T49" s="511" t="str">
        <f>IF(NAVIJENI=1,IF(VEDENI=1,výpočty!AO31,IF(VEDENI=2,výpočty!AO42,výpočty!AO56)),IF(NAVIJENI=2,IF(VEDENI&lt;3,výpočty!AO35,výpočty!AO55),výpočty!AO36))</f>
        <v>Róg list.tor. 90 °  Top/Frame</v>
      </c>
      <c r="U49" s="511"/>
      <c r="V49" s="511"/>
      <c r="W49" s="511"/>
      <c r="X49" s="205" t="str">
        <f>IF(Y49=výpočty!Z503,VLOOKUP(Y49,výpočty!$Z$503:$AJ$507,(1+výpočty!AE1),0),IF(Y49=výpočty!Z504,VLOOKUP(Y49,výpočty!$Z$503:$AJ$507,(1+výpočty!AE1),0),IF(Y49=výpočty!Z505,VLOOKUP(Y49,výpočty!$Z$503:$AJ$507,(1+výpočty!AE1),0),IF(Y49=výpočty!Z506,VLOOKUP(Y49,výpočty!$Z$503:$AJ$507,(1+výpočty!AE1),0),IF(Y49=výpočty!Z507,VLOOKUP(Y49,výpočty!$Z$503:$AJ$507,(1+výpočty!AE1),0),T49)))))</f>
        <v>Róg list.tor. 90 °  Top/Frame</v>
      </c>
      <c r="Y49" s="205" t="str">
        <f>IF(NAVIJENI=1,IF(VEDENI=1,výpočty!AQ31,IF(VEDENI=2,výpočty!AQ42,výpočty!AQ56)),IF(NAVIJENI=2,IF(VEDENI&lt;3,výpočty!AQ35,výpočty!AQ55),výpočty!AQ36))</f>
        <v>R95799</v>
      </c>
      <c r="Z49" s="510" t="str">
        <f>IF(Y49=výpočty!A92,VLOOKUP(Y49,výpočty!$Z$246:$AJ$507,(1+výpočty!AE1),0),IF(Y49=výpočty!A94,VLOOKUP(Y49,výpočty!$Z$246:$AJ$507,(1+výpočty!AE1),0),IF(Y49=výpočty!A96,VLOOKUP(Y49,výpočty!$Z$246:$AJ$507,(1+výpočty!AE1),0),IF(Y49=výpočty!A98,VLOOKUP(Y49,výpočty!$Z$246:$AJ$507,(1+výpočty!AE1),0),IF(Y49=výpočty!A100,VLOOKUP(Y49,výpočty!$Z$246:$AJ$507,(1+výpočty!AE1),0),'Objednávka žaluzií'!X49)))))</f>
        <v>Róg list.tor. 90 °  Top/Frame</v>
      </c>
      <c r="AA49" s="510"/>
      <c r="AB49" s="510"/>
      <c r="AC49" s="510"/>
      <c r="AD49" s="205" t="str">
        <f>IF(VEDENI=1,IF(NAVIJENI=2,Překlady!B93,Z49),Z49)</f>
        <v>Róg list.tor. 90 °  Top/Frame</v>
      </c>
      <c r="AI49" s="216" t="str">
        <f>IF(VEDENI=1,IF(NAVIJENI=2,Překlady!A84,'Objednávka žaluzií'!Y49),'Objednávka žaluzií'!Y49)</f>
        <v>R95799</v>
      </c>
      <c r="AJ49" s="502" t="str">
        <f>IF(P49=0,IF(VEDENI=1,IF(NAVIJENI=2,Překlady!B93,Z49),Z49),CONCATENATE(IF(VEDENI=1,IF(NAVIJENI=2,Překlady!B93,Z49),Z49)," (X",P49,")"))</f>
        <v>Róg list.tor. 90 °  Top/Frame</v>
      </c>
      <c r="AK49" s="503"/>
      <c r="AL49" s="503"/>
      <c r="AM49" s="504"/>
    </row>
    <row r="50" spans="1:39" ht="15.75" customHeight="1" x14ac:dyDescent="0.3">
      <c r="C50" s="216">
        <f>IF(VLOOKUP(CHYBY!$Q$6,CHYBY!$L:$N,3,FALSE)=1,"",IF(C45=výpočty!AA162,IF(NAVIJENI=3,výpočty!AA234,0),0))</f>
        <v>0</v>
      </c>
      <c r="D50" s="509">
        <f>IF(VLOOKUP(CHYBY!$Q$6,CHYBY!$L:$N,3,FALSE)=1,"",IF(P50=0,IF(C50=výpočty!AA234,výpočty!AB234,0),CONCATENATE(IF(C50=výpočty!AA234,výpočty!AB234,0)," (X",P50,")")))</f>
        <v>0</v>
      </c>
      <c r="E50" s="509"/>
      <c r="F50" s="509"/>
      <c r="G50" s="509"/>
      <c r="H50" s="517">
        <f>IF(VLOOKUP(CHYBY!$Q$6,CHYBY!$L:$N,3,FALSE)=1,"",IF(výpočty!S53=2,0,IF(C50=výpočty!AA234,F21,0)))</f>
        <v>0</v>
      </c>
      <c r="I50" s="517"/>
      <c r="J50" s="229">
        <f>IF(VLOOKUP(CHYBY!$Q$6,CHYBY!$L:$N,3,FALSE)=1,"",IF(výpočty!S53=2,0,VLOOKUP(C50,výpočty!$Z$246:$AK$508,12,0)))</f>
        <v>0</v>
      </c>
      <c r="K50" s="512">
        <f>IF(VLOOKUP(CHYBY!$Q$6,CHYBY!$L:$N,3,FALSE)=1,"",IF(výpočty!S53=2,0,IF(C50=výpočty!AA234,výpočty!AC234,0)))</f>
        <v>0</v>
      </c>
      <c r="L50" s="513"/>
      <c r="M50" s="364">
        <f>IF(VLOOKUP(CHYBY!$Q$6,CHYBY!$L:$N,3,FALSE)=1,"",IF(výpočty!S53=2,"",K50*H50))</f>
        <v>0</v>
      </c>
      <c r="N50" s="217">
        <f>IF(VLOOKUP(CHYBY!$Q$6,CHYBY!$L:$N,3,FALSE)=1,"",IF(výpočty!S53=2,0,VLOOKUP(C50,výpočty!$Z$246:$AJ$508,11,0)))</f>
        <v>0</v>
      </c>
      <c r="O50" s="223"/>
      <c r="P50" s="218">
        <f>IF(výpočty!S53=2,0,IF(PRIPRAVA=1,Q50+R50,0))</f>
        <v>0</v>
      </c>
      <c r="Q50" s="205">
        <f>IF(S50=0,0,IF(SMER=1,IF('Objednávka žaluzií'!S50=1,$S$11,$S$9),IF(S50=2,$S$11,$S$9)))</f>
        <v>0</v>
      </c>
      <c r="R50" s="205">
        <f>VLOOKUP(C50,výpočty!$AA:$AM,(5+VEDENI),0)</f>
        <v>0</v>
      </c>
      <c r="S50" s="205">
        <f>VLOOKUP('Objednávka žaluzií'!C50,výpočty!$AA$3:$AK$243,11,0)</f>
        <v>0</v>
      </c>
    </row>
    <row r="51" spans="1:39" ht="6.75" hidden="1" customHeight="1" x14ac:dyDescent="0.3">
      <c r="C51" s="277"/>
      <c r="D51" s="566"/>
      <c r="E51" s="566"/>
      <c r="F51" s="566"/>
      <c r="G51" s="566"/>
      <c r="H51" s="516"/>
      <c r="I51" s="516"/>
      <c r="J51" s="278"/>
      <c r="K51" s="567"/>
      <c r="L51" s="568"/>
      <c r="M51" s="368"/>
      <c r="N51" s="279"/>
      <c r="O51" s="223"/>
      <c r="P51" s="218">
        <f>IF(výpočty!S54=2,0,IF(PRIPRAVA=1,Q51+R51,0))</f>
        <v>0</v>
      </c>
      <c r="Q51" s="205">
        <f>IF(S51=0,0,IF(SMER=1,IF('Objednávka žaluzií'!S51=1,$S$11,$S$9),IF(S51=2,$S$11,$S$9)))</f>
        <v>0</v>
      </c>
      <c r="R51" s="205">
        <f>VLOOKUP(C51,výpočty!$AA$3:$AJ$243,(5+VEDENI),0)</f>
        <v>0</v>
      </c>
      <c r="S51" s="205">
        <f>VLOOKUP('Objednávka žaluzií'!C51,výpočty!$AA$3:$AK$243,11,0)</f>
        <v>0</v>
      </c>
    </row>
    <row r="52" spans="1:39" ht="15.75" customHeight="1" x14ac:dyDescent="0.3">
      <c r="C52" s="370" t="str">
        <f>Překlady!A94</f>
        <v>taśma klejąca do przyklejenia żaluzji</v>
      </c>
      <c r="D52" s="371"/>
      <c r="E52" s="371"/>
      <c r="F52" s="371"/>
      <c r="G52" s="371"/>
      <c r="H52" s="371"/>
      <c r="I52" s="371"/>
      <c r="J52" s="371"/>
      <c r="K52" s="371"/>
      <c r="L52" s="371"/>
      <c r="M52" s="374">
        <v>0</v>
      </c>
      <c r="N52" s="371"/>
      <c r="O52" s="372"/>
      <c r="R52" s="205" t="s">
        <v>1335</v>
      </c>
      <c r="S52" s="205" t="s">
        <v>1336</v>
      </c>
      <c r="T52" s="205" t="s">
        <v>1337</v>
      </c>
    </row>
    <row r="53" spans="1:39" ht="15.75" customHeight="1" x14ac:dyDescent="0.3">
      <c r="A53" s="205" t="s">
        <v>2151</v>
      </c>
      <c r="C53" s="216" t="str">
        <f>IF(VLOOKUP(CHYBY!$Q$6,CHYBY!$L:$N,3,FALSE)=1,"",IF(výpočty!X22=1,výpočty!AA239,výpočty!AA238))</f>
        <v>R95879M</v>
      </c>
      <c r="D53" s="509" t="str">
        <f>IF(VLOOKUP(CHYBY!$Q$6,CHYBY!$L:$N,3,FALSE)=1,"",IF(C53=0,0,VLOOKUP('Objednávka žaluzií'!C53,výpočty!$AA$238:$AD$239,2,0)))</f>
        <v>Taśma klejąca do przylepienia żaluzji</v>
      </c>
      <c r="E53" s="509"/>
      <c r="F53" s="509"/>
      <c r="G53" s="509"/>
      <c r="H53" s="517">
        <f>IF(VLOOKUP(CHYBY!$Q$6,CHYBY!$L:$N,3,FALSE)=1,"",IF(výpočty!S54=2,0,IF(C53=výpočty!AA238,1,IF('Objednávka žaluzií'!C53=výpočty!AA239,(V53*F21),0))))</f>
        <v>0</v>
      </c>
      <c r="I53" s="517"/>
      <c r="J53" s="229" t="str">
        <f>IF(VLOOKUP(CHYBY!$Q$6,CHYBY!$L:$N,3,FALSE)=1,"",IF(výpočty!S54=2,0,VLOOKUP(C53,výpočty!$Z$246:$AK$508,12,0)))</f>
        <v>MB</v>
      </c>
      <c r="K53" s="512">
        <f>IF(VLOOKUP(CHYBY!$Q$6,CHYBY!$L:$N,3,FALSE)=1,"",IF(výpočty!S54=2,0,IF(C53=0,0,VLOOKUP(C53,výpočty!$AA$238:$AD$239,3,0))))</f>
        <v>3.3436300000000001</v>
      </c>
      <c r="L53" s="513"/>
      <c r="M53" s="364">
        <f>IF(VLOOKUP(CHYBY!$Q$6,CHYBY!$L:$N,3,FALSE)=1,"",IF(výpočty!S54=2,"",K53*H53))</f>
        <v>0</v>
      </c>
      <c r="N53" s="217" t="str">
        <f>IF(VLOOKUP(CHYBY!$Q$6,CHYBY!$L:$N,3,FALSE)=1,"",IF(výpočty!S54=2,0,VLOOKUP(C53,výpočty!$Z$246:$AJ$508,11,0)))</f>
        <v>J</v>
      </c>
      <c r="O53" s="223"/>
      <c r="Q53" s="205">
        <v>2</v>
      </c>
      <c r="R53" s="219">
        <f>IF(výpočty!U14=1,('Objednávka žaluzií'!N9/1000),('Objednávka žaluzií'!N11/1000))</f>
        <v>3.5999999999999997E-2</v>
      </c>
      <c r="S53" s="205">
        <f>IF(výpočty!U14=1,'Objednávka žaluzií'!N11,'Objednávka žaluzií'!N9)</f>
        <v>36</v>
      </c>
      <c r="T53" s="205">
        <f>IF(S53&lt;600,2,3)</f>
        <v>2</v>
      </c>
      <c r="V53" s="205">
        <f>CEILING(((R53*T53*(IF(BARVA&gt;11,1.3,1)))+(IF(NAVIJENI=3,(0.3*('Objednávka žaluzií'!T53)),0))),1)</f>
        <v>1</v>
      </c>
    </row>
    <row r="54" spans="1:39" ht="15.75" customHeight="1" x14ac:dyDescent="0.3">
      <c r="C54" s="370" t="str">
        <f>Překlady!$A$32</f>
        <v>Opłata za przygotowanie kompletu na miarę</v>
      </c>
      <c r="D54" s="371"/>
      <c r="E54" s="371"/>
      <c r="F54" s="371"/>
      <c r="G54" s="371"/>
      <c r="H54" s="371"/>
      <c r="I54" s="371"/>
      <c r="J54" s="371"/>
      <c r="K54" s="371"/>
      <c r="L54" s="371"/>
      <c r="M54" s="374">
        <v>0</v>
      </c>
      <c r="N54" s="371"/>
      <c r="O54" s="372"/>
    </row>
    <row r="55" spans="1:39" ht="15.75" customHeight="1" x14ac:dyDescent="0.3">
      <c r="A55" s="205" t="s">
        <v>2152</v>
      </c>
      <c r="C55" s="220" t="str">
        <f>IF(VLOOKUP(CHYBY!$Q$6,CHYBY!$L:$N,3,FALSE)=1,"",IF(výpočty!X22=1,výpočty!AA237,0))</f>
        <v>R99999</v>
      </c>
      <c r="D55" s="577" t="str">
        <f>IF(VLOOKUP(CHYBY!$Q$6,CHYBY!$L:$N,3,FALSE)=1,"",IF(C55=výpočty!AA237,výpočty!AB237,0))</f>
        <v>opłata za przygotowanie żaluzji</v>
      </c>
      <c r="E55" s="578"/>
      <c r="F55" s="578"/>
      <c r="G55" s="579"/>
      <c r="H55" s="569">
        <f>IF(VLOOKUP(CHYBY!$Q$6,CHYBY!$L:$N,3,FALSE)=1,"",IF(C55=výpočty!AA237,F21,0))</f>
        <v>0</v>
      </c>
      <c r="I55" s="570"/>
      <c r="J55" s="230" t="str">
        <f>IF(VLOOKUP(CHYBY!$Q$6,CHYBY!$L:$N,3,FALSE)=1,"",IF(výpočty!S50=2,0,VLOOKUP(C55,výpočty!$Z$246:$AK$508,12,0)))</f>
        <v>SZT.</v>
      </c>
      <c r="K55" s="587">
        <f>IF(VLOOKUP(CHYBY!$Q$6,CHYBY!$L:$N,3,FALSE)=1,"",IF(C55=výpočty!AA237,výpočty!AC237,0))</f>
        <v>40</v>
      </c>
      <c r="L55" s="587"/>
      <c r="M55" s="302">
        <f>IF(VLOOKUP(CHYBY!$Q$6,CHYBY!$L:$N,3,FALSE)=1,"",H55*K55)</f>
        <v>0</v>
      </c>
      <c r="N55" s="588"/>
      <c r="O55" s="589"/>
    </row>
    <row r="56" spans="1:39" ht="8.25" customHeight="1" x14ac:dyDescent="0.3">
      <c r="C56" s="222"/>
      <c r="D56" s="221"/>
      <c r="E56" s="221"/>
      <c r="F56" s="541"/>
      <c r="G56" s="541"/>
      <c r="H56" s="221"/>
      <c r="I56" s="221"/>
      <c r="J56" s="221"/>
      <c r="K56" s="299"/>
      <c r="L56" s="299"/>
      <c r="M56" s="299"/>
      <c r="N56" s="299"/>
      <c r="O56" s="223"/>
    </row>
    <row r="57" spans="1:39" ht="25.5" customHeight="1" x14ac:dyDescent="0.3">
      <c r="C57" s="581" t="str">
        <f>Překlady!$A$33</f>
        <v xml:space="preserve">W sumie </v>
      </c>
      <c r="D57" s="582"/>
      <c r="E57" s="582"/>
      <c r="F57" s="582"/>
      <c r="G57" s="582"/>
      <c r="H57" s="582"/>
      <c r="I57" s="582"/>
      <c r="J57" s="582"/>
      <c r="K57" s="582"/>
      <c r="L57" s="583"/>
      <c r="M57" s="552">
        <f>IFERROR(SUM(M32:M55),Překlady!A84)</f>
        <v>0</v>
      </c>
      <c r="N57" s="553"/>
      <c r="O57" s="554"/>
      <c r="P57" s="373"/>
    </row>
    <row r="58" spans="1:39" ht="8.25" customHeight="1" x14ac:dyDescent="0.3">
      <c r="C58" s="222"/>
      <c r="D58" s="221"/>
      <c r="E58" s="221"/>
      <c r="F58" s="541"/>
      <c r="G58" s="541"/>
      <c r="H58" s="221"/>
      <c r="I58" s="221"/>
      <c r="J58" s="221"/>
      <c r="K58" s="221"/>
      <c r="L58" s="221"/>
      <c r="M58" s="221"/>
      <c r="N58" s="221"/>
      <c r="O58" s="223"/>
    </row>
    <row r="59" spans="1:39" ht="11.25" customHeight="1" x14ac:dyDescent="0.3">
      <c r="C59" s="584" t="str">
        <f>Překlady!$A$9</f>
        <v>Uwagi</v>
      </c>
      <c r="D59" s="571"/>
      <c r="E59" s="571"/>
      <c r="F59" s="571"/>
      <c r="G59" s="571"/>
      <c r="H59" s="571"/>
      <c r="I59" s="571"/>
      <c r="J59" s="571"/>
      <c r="K59" s="571"/>
      <c r="L59" s="571"/>
      <c r="M59" s="571"/>
      <c r="N59" s="571"/>
      <c r="O59" s="572"/>
    </row>
    <row r="60" spans="1:39" ht="11.25" customHeight="1" x14ac:dyDescent="0.3">
      <c r="C60" s="585"/>
      <c r="D60" s="573"/>
      <c r="E60" s="573"/>
      <c r="F60" s="573"/>
      <c r="G60" s="573"/>
      <c r="H60" s="573"/>
      <c r="I60" s="573"/>
      <c r="J60" s="573"/>
      <c r="K60" s="573"/>
      <c r="L60" s="573"/>
      <c r="M60" s="573"/>
      <c r="N60" s="573"/>
      <c r="O60" s="574"/>
    </row>
    <row r="61" spans="1:39" ht="11.25" customHeight="1" x14ac:dyDescent="0.3">
      <c r="C61" s="585"/>
      <c r="D61" s="573"/>
      <c r="E61" s="573"/>
      <c r="F61" s="573"/>
      <c r="G61" s="573"/>
      <c r="H61" s="573"/>
      <c r="I61" s="573"/>
      <c r="J61" s="573"/>
      <c r="K61" s="573"/>
      <c r="L61" s="573"/>
      <c r="M61" s="573"/>
      <c r="N61" s="573"/>
      <c r="O61" s="574"/>
    </row>
    <row r="62" spans="1:39" ht="11.25" customHeight="1" x14ac:dyDescent="0.3">
      <c r="C62" s="585"/>
      <c r="D62" s="573"/>
      <c r="E62" s="573"/>
      <c r="F62" s="573"/>
      <c r="G62" s="573"/>
      <c r="H62" s="573"/>
      <c r="I62" s="573"/>
      <c r="J62" s="573"/>
      <c r="K62" s="573"/>
      <c r="L62" s="573"/>
      <c r="M62" s="573"/>
      <c r="N62" s="573"/>
      <c r="O62" s="574"/>
    </row>
    <row r="63" spans="1:39" ht="11.25" customHeight="1" x14ac:dyDescent="0.3">
      <c r="C63" s="585"/>
      <c r="D63" s="573"/>
      <c r="E63" s="573"/>
      <c r="F63" s="573"/>
      <c r="G63" s="573"/>
      <c r="H63" s="573"/>
      <c r="I63" s="573"/>
      <c r="J63" s="573"/>
      <c r="K63" s="573"/>
      <c r="L63" s="573"/>
      <c r="M63" s="573"/>
      <c r="N63" s="573"/>
      <c r="O63" s="574"/>
    </row>
    <row r="64" spans="1:39" ht="11.25" customHeight="1" x14ac:dyDescent="0.3">
      <c r="C64" s="585"/>
      <c r="D64" s="573"/>
      <c r="E64" s="573"/>
      <c r="F64" s="573"/>
      <c r="G64" s="573"/>
      <c r="H64" s="573"/>
      <c r="I64" s="573"/>
      <c r="J64" s="573"/>
      <c r="K64" s="573"/>
      <c r="L64" s="573"/>
      <c r="M64" s="573"/>
      <c r="N64" s="573"/>
      <c r="O64" s="574"/>
    </row>
    <row r="65" spans="3:15" ht="11.25" customHeight="1" x14ac:dyDescent="0.3">
      <c r="C65" s="585"/>
      <c r="D65" s="573"/>
      <c r="E65" s="573"/>
      <c r="F65" s="573"/>
      <c r="G65" s="573"/>
      <c r="H65" s="573"/>
      <c r="I65" s="573"/>
      <c r="J65" s="573"/>
      <c r="K65" s="573"/>
      <c r="L65" s="573"/>
      <c r="M65" s="573"/>
      <c r="N65" s="573"/>
      <c r="O65" s="574"/>
    </row>
    <row r="66" spans="3:15" ht="11.25" customHeight="1" x14ac:dyDescent="0.3">
      <c r="C66" s="585"/>
      <c r="D66" s="573"/>
      <c r="E66" s="573"/>
      <c r="F66" s="573"/>
      <c r="G66" s="573"/>
      <c r="H66" s="573"/>
      <c r="I66" s="573"/>
      <c r="J66" s="573"/>
      <c r="K66" s="573"/>
      <c r="L66" s="573"/>
      <c r="M66" s="573"/>
      <c r="N66" s="573"/>
      <c r="O66" s="574"/>
    </row>
    <row r="67" spans="3:15" ht="11.25" customHeight="1" x14ac:dyDescent="0.3">
      <c r="C67" s="586"/>
      <c r="D67" s="575"/>
      <c r="E67" s="575"/>
      <c r="F67" s="575"/>
      <c r="G67" s="575"/>
      <c r="H67" s="575"/>
      <c r="I67" s="575"/>
      <c r="J67" s="575"/>
      <c r="K67" s="575"/>
      <c r="L67" s="575"/>
      <c r="M67" s="575"/>
      <c r="N67" s="575"/>
      <c r="O67" s="576"/>
    </row>
    <row r="68" spans="3:15" ht="22.5" customHeight="1" x14ac:dyDescent="0.3">
      <c r="C68" s="564" t="str">
        <f>Překlady!$A$103</f>
        <v>Instrukcje montażu są dostępne na naszym portalu www.demos24plus.com</v>
      </c>
      <c r="D68" s="565"/>
      <c r="E68" s="565"/>
      <c r="F68" s="565"/>
      <c r="G68" s="565"/>
      <c r="H68" s="565"/>
      <c r="I68" s="565"/>
      <c r="J68" s="565"/>
      <c r="K68" s="565"/>
      <c r="L68" s="565"/>
      <c r="M68" s="580" t="s">
        <v>1532</v>
      </c>
      <c r="N68" s="580"/>
      <c r="O68" s="580"/>
    </row>
    <row r="69" spans="3:15" ht="11.25" customHeight="1" x14ac:dyDescent="0.3">
      <c r="C69" s="239" t="str">
        <f>Překlady!$A$105</f>
        <v>Pion.25.01</v>
      </c>
      <c r="D69" s="240"/>
      <c r="E69" s="240"/>
      <c r="F69" s="240"/>
      <c r="G69" s="240"/>
      <c r="H69" s="240"/>
      <c r="I69" s="240"/>
      <c r="J69" s="240"/>
      <c r="K69" s="240"/>
      <c r="L69" s="240"/>
      <c r="M69" s="240"/>
      <c r="N69" s="240"/>
      <c r="O69" s="241" t="str">
        <f>Překlady!$A$106</f>
        <v>Podane ceny nie zawierają podatku VAT i obowiązują od 06.01.2025</v>
      </c>
    </row>
  </sheetData>
  <sheetProtection algorithmName="SHA-512" hashValue="IWUCCz9kWQkvxw1F3Mrajm27VqPWhGLXlOojMBirI1mCUFAWvKqunIMK+BKEqw0tdBmsD58rZnWLkgMmwcTMKA==" saltValue="5evHIQOEqtg1moV6AAIKKQ==" spinCount="100000" sheet="1" objects="1" scenarios="1"/>
  <mergeCells count="109">
    <mergeCell ref="C28:O28"/>
    <mergeCell ref="K50:L50"/>
    <mergeCell ref="D45:G45"/>
    <mergeCell ref="H48:I48"/>
    <mergeCell ref="H37:I37"/>
    <mergeCell ref="D36:G36"/>
    <mergeCell ref="D49:F49"/>
    <mergeCell ref="C68:L68"/>
    <mergeCell ref="D51:G51"/>
    <mergeCell ref="H50:I50"/>
    <mergeCell ref="K51:L51"/>
    <mergeCell ref="D50:G50"/>
    <mergeCell ref="D41:G41"/>
    <mergeCell ref="D42:G42"/>
    <mergeCell ref="D53:G53"/>
    <mergeCell ref="H55:I55"/>
    <mergeCell ref="D59:O67"/>
    <mergeCell ref="D55:G55"/>
    <mergeCell ref="M68:O68"/>
    <mergeCell ref="C57:L57"/>
    <mergeCell ref="C59:C67"/>
    <mergeCell ref="F58:G58"/>
    <mergeCell ref="K55:L55"/>
    <mergeCell ref="N55:O55"/>
    <mergeCell ref="M57:O57"/>
    <mergeCell ref="F56:G56"/>
    <mergeCell ref="H53:I53"/>
    <mergeCell ref="H51:I51"/>
    <mergeCell ref="K53:L53"/>
    <mergeCell ref="D17:F17"/>
    <mergeCell ref="E23:F23"/>
    <mergeCell ref="E25:F25"/>
    <mergeCell ref="K38:L38"/>
    <mergeCell ref="K32:L32"/>
    <mergeCell ref="H32:I32"/>
    <mergeCell ref="D37:G37"/>
    <mergeCell ref="K36:L36"/>
    <mergeCell ref="K35:L35"/>
    <mergeCell ref="D35:G35"/>
    <mergeCell ref="D32:G32"/>
    <mergeCell ref="D33:G33"/>
    <mergeCell ref="C31:O31"/>
    <mergeCell ref="J29:J30"/>
    <mergeCell ref="H33:I33"/>
    <mergeCell ref="H36:I36"/>
    <mergeCell ref="D38:G38"/>
    <mergeCell ref="D47:G47"/>
    <mergeCell ref="D46:G46"/>
    <mergeCell ref="D39:G39"/>
    <mergeCell ref="K48:L48"/>
    <mergeCell ref="D44:G44"/>
    <mergeCell ref="D48:G48"/>
    <mergeCell ref="H41:I41"/>
    <mergeCell ref="H44:I44"/>
    <mergeCell ref="K47:L47"/>
    <mergeCell ref="K45:L45"/>
    <mergeCell ref="H39:I39"/>
    <mergeCell ref="C2:F3"/>
    <mergeCell ref="I15:O15"/>
    <mergeCell ref="I19:O19"/>
    <mergeCell ref="I23:O23"/>
    <mergeCell ref="D11:F11"/>
    <mergeCell ref="H35:I35"/>
    <mergeCell ref="N7:O7"/>
    <mergeCell ref="N6:O6"/>
    <mergeCell ref="N9:O9"/>
    <mergeCell ref="C23:D23"/>
    <mergeCell ref="I21:O21"/>
    <mergeCell ref="D13:F13"/>
    <mergeCell ref="D15:F15"/>
    <mergeCell ref="M29:M30"/>
    <mergeCell ref="C29:C30"/>
    <mergeCell ref="D29:G30"/>
    <mergeCell ref="H29:I30"/>
    <mergeCell ref="I17:O17"/>
    <mergeCell ref="I25:O25"/>
    <mergeCell ref="O29:O30"/>
    <mergeCell ref="K29:L30"/>
    <mergeCell ref="N29:N30"/>
    <mergeCell ref="C25:D25"/>
    <mergeCell ref="C7:F7"/>
    <mergeCell ref="AJ49:AM49"/>
    <mergeCell ref="K42:L42"/>
    <mergeCell ref="K44:L44"/>
    <mergeCell ref="H47:I47"/>
    <mergeCell ref="T39:W39"/>
    <mergeCell ref="Z49:AC49"/>
    <mergeCell ref="T49:W49"/>
    <mergeCell ref="K33:L33"/>
    <mergeCell ref="K49:L49"/>
    <mergeCell ref="K39:L39"/>
    <mergeCell ref="K46:L46"/>
    <mergeCell ref="H46:I46"/>
    <mergeCell ref="K41:L41"/>
    <mergeCell ref="K37:L37"/>
    <mergeCell ref="H42:I42"/>
    <mergeCell ref="H45:I45"/>
    <mergeCell ref="H49:I49"/>
    <mergeCell ref="H38:I38"/>
    <mergeCell ref="C27:O27"/>
    <mergeCell ref="C6:F6"/>
    <mergeCell ref="I13:L13"/>
    <mergeCell ref="I11:L11"/>
    <mergeCell ref="I9:L9"/>
    <mergeCell ref="M6:M7"/>
    <mergeCell ref="I6:L7"/>
    <mergeCell ref="D9:F9"/>
    <mergeCell ref="T13:U13"/>
    <mergeCell ref="N11:O11"/>
  </mergeCells>
  <phoneticPr fontId="0" type="noConversion"/>
  <conditionalFormatting sqref="C25:D25">
    <cfRule type="containsText" dxfId="1" priority="1" stopIfTrue="1" operator="containsText" text="!">
      <formula>NOT(ISERROR(SEARCH("!",C25)))</formula>
    </cfRule>
  </conditionalFormatting>
  <conditionalFormatting sqref="I13">
    <cfRule type="containsText" dxfId="0" priority="3" stopIfTrue="1" operator="containsText" text="!">
      <formula>NOT(ISERROR(SEARCH("!",I13)))</formula>
    </cfRule>
  </conditionalFormatting>
  <hyperlinks>
    <hyperlink ref="C7" location="Úvod!A1" display="Úvod!A1" xr:uid="{00000000-0004-0000-0400-000001000000}"/>
    <hyperlink ref="C7:F7" location="Úvod!A1" display="Úvod!A1" xr:uid="{E7E8DEE8-A766-4C97-B007-F6B31CF2087F}"/>
    <hyperlink ref="M68:O68" r:id="rId1" display="www.demos24plus.com" xr:uid="{0F5590F1-0EAD-4567-970E-C2CF81BE27D3}"/>
  </hyperlinks>
  <pageMargins left="0.39370078740157483" right="0.39370078740157483" top="0.39370078740157483" bottom="0.39370078740157483" header="0" footer="0"/>
  <pageSetup paperSize="9" scale="18" orientation="portrait" r:id="rId2"/>
  <headerFooter alignWithMargins="0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5" name="Drop Down 1">
              <controlPr locked="0" defaultSize="0" autoLine="0" autoPict="0">
                <anchor moveWithCells="1">
                  <from>
                    <xdr:col>8</xdr:col>
                    <xdr:colOff>7620</xdr:colOff>
                    <xdr:row>16</xdr:row>
                    <xdr:rowOff>0</xdr:rowOff>
                  </from>
                  <to>
                    <xdr:col>14</xdr:col>
                    <xdr:colOff>495300</xdr:colOff>
                    <xdr:row>16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r:id="rId6" name="Drop Down 7">
              <controlPr locked="0" defaultSize="0" autoLine="0" autoPict="0">
                <anchor moveWithCells="1">
                  <from>
                    <xdr:col>7</xdr:col>
                    <xdr:colOff>38100</xdr:colOff>
                    <xdr:row>23</xdr:row>
                    <xdr:rowOff>38100</xdr:rowOff>
                  </from>
                  <to>
                    <xdr:col>14</xdr:col>
                    <xdr:colOff>495300</xdr:colOff>
                    <xdr:row>25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r:id="rId7" name="Drop Down 8">
              <controlPr locked="0" defaultSize="0" autoLine="0" autoPict="0">
                <anchor moveWithCells="1">
                  <from>
                    <xdr:col>4</xdr:col>
                    <xdr:colOff>0</xdr:colOff>
                    <xdr:row>24</xdr:row>
                    <xdr:rowOff>0</xdr:rowOff>
                  </from>
                  <to>
                    <xdr:col>6</xdr:col>
                    <xdr:colOff>0</xdr:colOff>
                    <xdr:row>25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r:id="rId8" name="Drop Down 13">
              <controlPr locked="0" defaultSize="0" autoLine="0" autoPict="0">
                <anchor moveWithCells="1">
                  <from>
                    <xdr:col>8</xdr:col>
                    <xdr:colOff>0</xdr:colOff>
                    <xdr:row>19</xdr:row>
                    <xdr:rowOff>30480</xdr:rowOff>
                  </from>
                  <to>
                    <xdr:col>14</xdr:col>
                    <xdr:colOff>495300</xdr:colOff>
                    <xdr:row>20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" r:id="rId9" name="Drop Down 15">
              <controlPr locked="0" defaultSize="0" autoLine="0" autoPict="0">
                <anchor moveWithCells="1">
                  <from>
                    <xdr:col>4</xdr:col>
                    <xdr:colOff>0</xdr:colOff>
                    <xdr:row>22</xdr:row>
                    <xdr:rowOff>0</xdr:rowOff>
                  </from>
                  <to>
                    <xdr:col>6</xdr:col>
                    <xdr:colOff>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" r:id="rId10" name="Drop Down 16">
              <controlPr locked="0" defaultSize="0" autoLine="0" autoPict="0">
                <anchor moveWithCells="1">
                  <from>
                    <xdr:col>14</xdr:col>
                    <xdr:colOff>0</xdr:colOff>
                    <xdr:row>30</xdr:row>
                    <xdr:rowOff>198120</xdr:rowOff>
                  </from>
                  <to>
                    <xdr:col>14</xdr:col>
                    <xdr:colOff>708660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39" r:id="rId11" name="Drop Down 195">
              <controlPr locked="0" defaultSize="0" autoLine="0" autoPict="0">
                <anchor moveWithCells="1">
                  <from>
                    <xdr:col>14</xdr:col>
                    <xdr:colOff>0</xdr:colOff>
                    <xdr:row>32</xdr:row>
                    <xdr:rowOff>0</xdr:rowOff>
                  </from>
                  <to>
                    <xdr:col>14</xdr:col>
                    <xdr:colOff>708660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41" r:id="rId12" name="Drop Down 197">
              <controlPr locked="0" defaultSize="0" autoLine="0" autoPict="0">
                <anchor moveWithCells="1">
                  <from>
                    <xdr:col>14</xdr:col>
                    <xdr:colOff>0</xdr:colOff>
                    <xdr:row>35</xdr:row>
                    <xdr:rowOff>0</xdr:rowOff>
                  </from>
                  <to>
                    <xdr:col>14</xdr:col>
                    <xdr:colOff>708660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42" r:id="rId13" name="Drop Down 198">
              <controlPr locked="0" defaultSize="0" autoLine="0" autoPict="0">
                <anchor moveWithCells="1">
                  <from>
                    <xdr:col>14</xdr:col>
                    <xdr:colOff>0</xdr:colOff>
                    <xdr:row>36</xdr:row>
                    <xdr:rowOff>0</xdr:rowOff>
                  </from>
                  <to>
                    <xdr:col>14</xdr:col>
                    <xdr:colOff>708660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43" r:id="rId14" name="Drop Down 199">
              <controlPr locked="0" defaultSize="0" autoLine="0" autoPict="0">
                <anchor moveWithCells="1">
                  <from>
                    <xdr:col>14</xdr:col>
                    <xdr:colOff>0</xdr:colOff>
                    <xdr:row>39</xdr:row>
                    <xdr:rowOff>198120</xdr:rowOff>
                  </from>
                  <to>
                    <xdr:col>14</xdr:col>
                    <xdr:colOff>708660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44" r:id="rId15" name="Drop Down 200">
              <controlPr locked="0" defaultSize="0" autoLine="0" autoPict="0">
                <anchor moveWithCells="1">
                  <from>
                    <xdr:col>14</xdr:col>
                    <xdr:colOff>0</xdr:colOff>
                    <xdr:row>40</xdr:row>
                    <xdr:rowOff>198120</xdr:rowOff>
                  </from>
                  <to>
                    <xdr:col>14</xdr:col>
                    <xdr:colOff>708660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45" r:id="rId16" name="Drop Down 201">
              <controlPr locked="0" defaultSize="0" autoLine="0" autoPict="0">
                <anchor moveWithCells="1">
                  <from>
                    <xdr:col>14</xdr:col>
                    <xdr:colOff>0</xdr:colOff>
                    <xdr:row>43</xdr:row>
                    <xdr:rowOff>0</xdr:rowOff>
                  </from>
                  <to>
                    <xdr:col>14</xdr:col>
                    <xdr:colOff>708660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46" r:id="rId17" name="Drop Down 202">
              <controlPr locked="0" defaultSize="0" autoLine="0" autoPict="0">
                <anchor moveWithCells="1">
                  <from>
                    <xdr:col>14</xdr:col>
                    <xdr:colOff>0</xdr:colOff>
                    <xdr:row>43</xdr:row>
                    <xdr:rowOff>198120</xdr:rowOff>
                  </from>
                  <to>
                    <xdr:col>14</xdr:col>
                    <xdr:colOff>708660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47" r:id="rId18" name="Drop Down 203">
              <controlPr locked="0" defaultSize="0" autoLine="0" autoPict="0">
                <anchor moveWithCells="1">
                  <from>
                    <xdr:col>14</xdr:col>
                    <xdr:colOff>0</xdr:colOff>
                    <xdr:row>45</xdr:row>
                    <xdr:rowOff>0</xdr:rowOff>
                  </from>
                  <to>
                    <xdr:col>14</xdr:col>
                    <xdr:colOff>708660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48" r:id="rId19" name="Drop Down 204">
              <controlPr locked="0" defaultSize="0" autoLine="0" autoPict="0">
                <anchor moveWithCells="1">
                  <from>
                    <xdr:col>14</xdr:col>
                    <xdr:colOff>0</xdr:colOff>
                    <xdr:row>46</xdr:row>
                    <xdr:rowOff>0</xdr:rowOff>
                  </from>
                  <to>
                    <xdr:col>14</xdr:col>
                    <xdr:colOff>708660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49" r:id="rId20" name="Drop Down 205">
              <controlPr locked="0" defaultSize="0" autoLine="0" autoPict="0">
                <anchor moveWithCells="1">
                  <from>
                    <xdr:col>14</xdr:col>
                    <xdr:colOff>0</xdr:colOff>
                    <xdr:row>48</xdr:row>
                    <xdr:rowOff>0</xdr:rowOff>
                  </from>
                  <to>
                    <xdr:col>14</xdr:col>
                    <xdr:colOff>708660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50" r:id="rId21" name="Drop Down 206">
              <controlPr locked="0" defaultSize="0" autoLine="0" autoPict="0">
                <anchor moveWithCells="1">
                  <from>
                    <xdr:col>14</xdr:col>
                    <xdr:colOff>0</xdr:colOff>
                    <xdr:row>49</xdr:row>
                    <xdr:rowOff>0</xdr:rowOff>
                  </from>
                  <to>
                    <xdr:col>14</xdr:col>
                    <xdr:colOff>708660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52" r:id="rId22" name="Drop Down 208">
              <controlPr locked="0" defaultSize="0" autoLine="0" autoPict="0">
                <anchor moveWithCells="1">
                  <from>
                    <xdr:col>14</xdr:col>
                    <xdr:colOff>0</xdr:colOff>
                    <xdr:row>34</xdr:row>
                    <xdr:rowOff>0</xdr:rowOff>
                  </from>
                  <to>
                    <xdr:col>14</xdr:col>
                    <xdr:colOff>708660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68" r:id="rId23" name="Drop Down 224">
              <controlPr locked="0" defaultSize="0" autoLine="0" autoPict="0">
                <anchor moveWithCells="1">
                  <from>
                    <xdr:col>14</xdr:col>
                    <xdr:colOff>0</xdr:colOff>
                    <xdr:row>47</xdr:row>
                    <xdr:rowOff>0</xdr:rowOff>
                  </from>
                  <to>
                    <xdr:col>14</xdr:col>
                    <xdr:colOff>708660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85" r:id="rId24" name="Drop Down 341">
              <controlPr locked="0" defaultSize="0" autoLine="0" autoPict="0">
                <anchor moveWithCells="1">
                  <from>
                    <xdr:col>13</xdr:col>
                    <xdr:colOff>746760</xdr:colOff>
                    <xdr:row>52</xdr:row>
                    <xdr:rowOff>0</xdr:rowOff>
                  </from>
                  <to>
                    <xdr:col>14</xdr:col>
                    <xdr:colOff>708660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04" r:id="rId25" name="Drop Down 460">
              <controlPr locked="0" defaultSize="0" autoLine="0" autoPict="0">
                <anchor moveWithCells="1">
                  <from>
                    <xdr:col>14</xdr:col>
                    <xdr:colOff>0</xdr:colOff>
                    <xdr:row>37</xdr:row>
                    <xdr:rowOff>0</xdr:rowOff>
                  </from>
                  <to>
                    <xdr:col>14</xdr:col>
                    <xdr:colOff>708660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29" r:id="rId26" name="Drop Down 585">
              <controlPr locked="0" defaultSize="0" autoLine="0" autoPict="0">
                <anchor moveWithCells="1">
                  <from>
                    <xdr:col>14</xdr:col>
                    <xdr:colOff>0</xdr:colOff>
                    <xdr:row>38</xdr:row>
                    <xdr:rowOff>0</xdr:rowOff>
                  </from>
                  <to>
                    <xdr:col>14</xdr:col>
                    <xdr:colOff>708660</xdr:colOff>
                    <xdr:row>39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DECAB0-C9C6-4954-BD17-08F14FF7416A}">
  <sheetPr codeName="List7"/>
  <dimension ref="A1:W482"/>
  <sheetViews>
    <sheetView topLeftCell="H1" zoomScaleNormal="100" workbookViewId="0">
      <selection activeCell="J23" sqref="J23"/>
    </sheetView>
  </sheetViews>
  <sheetFormatPr defaultRowHeight="13.2" x14ac:dyDescent="0.25"/>
  <cols>
    <col min="1" max="1" width="23.6640625" bestFit="1" customWidth="1"/>
    <col min="2" max="2" width="16.88671875" bestFit="1" customWidth="1"/>
    <col min="3" max="3" width="45.5546875" bestFit="1" customWidth="1"/>
    <col min="4" max="4" width="28.88671875" bestFit="1" customWidth="1"/>
    <col min="7" max="7" width="111" customWidth="1"/>
    <col min="8" max="8" width="18.6640625" bestFit="1" customWidth="1"/>
    <col min="10" max="10" width="11.44140625" bestFit="1" customWidth="1"/>
    <col min="11" max="11" width="16" bestFit="1" customWidth="1"/>
    <col min="13" max="13" width="137.44140625" bestFit="1" customWidth="1"/>
    <col min="16" max="16" width="17.6640625" bestFit="1" customWidth="1"/>
    <col min="17" max="17" width="11.44140625" bestFit="1" customWidth="1"/>
    <col min="20" max="20" width="16.33203125" bestFit="1" customWidth="1"/>
    <col min="23" max="23" width="27.88671875" bestFit="1" customWidth="1"/>
  </cols>
  <sheetData>
    <row r="1" spans="1:23" ht="13.8" thickBot="1" x14ac:dyDescent="0.3">
      <c r="A1" t="s">
        <v>1211</v>
      </c>
      <c r="B1" t="s">
        <v>1304</v>
      </c>
      <c r="C1" t="s">
        <v>1214</v>
      </c>
      <c r="D1" t="s">
        <v>1217</v>
      </c>
      <c r="E1" t="s">
        <v>2127</v>
      </c>
      <c r="F1" s="321" t="s">
        <v>2173</v>
      </c>
      <c r="G1" t="s">
        <v>2128</v>
      </c>
      <c r="H1" t="s">
        <v>1211</v>
      </c>
      <c r="I1" t="s">
        <v>1304</v>
      </c>
      <c r="J1" t="s">
        <v>1214</v>
      </c>
      <c r="K1" t="s">
        <v>1217</v>
      </c>
      <c r="P1" s="344" t="s">
        <v>2140</v>
      </c>
      <c r="Q1" s="340"/>
      <c r="U1" s="17" t="s">
        <v>2154</v>
      </c>
    </row>
    <row r="2" spans="1:23" ht="14.4" thickBot="1" x14ac:dyDescent="0.35">
      <c r="A2" s="255" t="str">
        <f>výpočty!$R$14</f>
        <v>Pionowy (z góry na dół)</v>
      </c>
      <c r="B2" s="256" t="str">
        <f>výpočty!$R$9</f>
        <v>Do tyłu</v>
      </c>
      <c r="C2" t="str">
        <f>výpočty!$R$3</f>
        <v>TOP Basic - wpuszczany do przykręcenia plastikowy</v>
      </c>
      <c r="D2" s="26" t="str">
        <f>výpočty!$W$3</f>
        <v>Czarny (E23)</v>
      </c>
      <c r="E2" t="s">
        <v>2129</v>
      </c>
      <c r="F2">
        <v>0</v>
      </c>
      <c r="G2" t="s">
        <v>2139</v>
      </c>
      <c r="H2" t="str">
        <f>VLOOKUP(A:A,výpočty!$R$14:$S$15,2,FALSE)</f>
        <v>V</v>
      </c>
      <c r="I2" t="str">
        <f>VLOOKUP(B:B,výpočty!$R$9:$S$11,2,FALSE)</f>
        <v>X</v>
      </c>
      <c r="J2" t="str">
        <f>VLOOKUP(CHYBY!C:C,výpočty!$R$3:$S$7,2,FALSE)</f>
        <v>A</v>
      </c>
      <c r="K2">
        <f>VLOOKUP(D:D,výpočty!$W$3:$X$20,2,FALSE)</f>
        <v>1</v>
      </c>
      <c r="L2" t="str">
        <f>TRIM(CONCATENATE(H2,I2,J2,K2))</f>
        <v>VXA1</v>
      </c>
      <c r="M2" t="str">
        <f>IF(G:G="OK","",G:G)</f>
        <v/>
      </c>
      <c r="N2">
        <f>F:F</f>
        <v>0</v>
      </c>
      <c r="P2" s="341" t="s">
        <v>1211</v>
      </c>
      <c r="Q2" s="342" t="str">
        <f>výpočty!T15</f>
        <v>V</v>
      </c>
      <c r="U2" s="345" t="s">
        <v>1929</v>
      </c>
      <c r="V2">
        <f>VEDENI</f>
        <v>3</v>
      </c>
      <c r="W2" t="str">
        <f>VLOOKUP(V2,výpočty!Q3:S7,2,FALSE)</f>
        <v>Frame - nakładany z listwą maskującą</v>
      </c>
    </row>
    <row r="3" spans="1:23" ht="14.4" thickBot="1" x14ac:dyDescent="0.35">
      <c r="A3" s="255" t="str">
        <f>výpočty!$R$14</f>
        <v>Pionowy (z góry na dół)</v>
      </c>
      <c r="B3" s="256" t="str">
        <f>výpočty!$R$9</f>
        <v>Do tyłu</v>
      </c>
      <c r="C3" t="str">
        <f>výpočty!$R$3</f>
        <v>TOP Basic - wpuszczany do przykręcenia plastikowy</v>
      </c>
      <c r="D3" s="36" t="str">
        <f>výpočty!$W$4</f>
        <v>Biały (E23)</v>
      </c>
      <c r="E3" t="s">
        <v>2129</v>
      </c>
      <c r="F3">
        <v>0</v>
      </c>
      <c r="G3" t="s">
        <v>2139</v>
      </c>
      <c r="H3" t="str">
        <f>VLOOKUP(A:A,výpočty!$R$14:$S$15,2,FALSE)</f>
        <v>V</v>
      </c>
      <c r="I3" t="str">
        <f>VLOOKUP(B:B,výpočty!$R$9:$S$11,2,FALSE)</f>
        <v>X</v>
      </c>
      <c r="J3" t="str">
        <f>VLOOKUP(CHYBY!C:C,výpočty!$R$3:$S$7,2,FALSE)</f>
        <v>A</v>
      </c>
      <c r="K3">
        <f>VLOOKUP(D:D,výpočty!$W$3:$X$20,2,FALSE)</f>
        <v>2</v>
      </c>
      <c r="L3" t="str">
        <f t="shared" ref="L3:L66" si="0">TRIM(CONCATENATE(H3,I3,J3,K3))</f>
        <v>VXA2</v>
      </c>
      <c r="M3" t="str">
        <f t="shared" ref="M3:M66" si="1">IF(G:G="OK","",G:G)</f>
        <v/>
      </c>
      <c r="N3">
        <f t="shared" ref="N3:N66" si="2">F:F</f>
        <v>0</v>
      </c>
      <c r="P3" s="341" t="s">
        <v>1304</v>
      </c>
      <c r="Q3" s="342" t="str">
        <f>výpočty!T10</f>
        <v>X</v>
      </c>
      <c r="U3" s="345" t="s">
        <v>1930</v>
      </c>
      <c r="V3">
        <f>NAVIJENI</f>
        <v>1</v>
      </c>
      <c r="W3" t="str">
        <f>VLOOKUP(V3,výpočty!Q9:R11,2,FALSE)</f>
        <v>Do tyłu</v>
      </c>
    </row>
    <row r="4" spans="1:23" ht="14.4" thickBot="1" x14ac:dyDescent="0.35">
      <c r="A4" s="255" t="str">
        <f>výpočty!$R$14</f>
        <v>Pionowy (z góry na dół)</v>
      </c>
      <c r="B4" s="256" t="str">
        <f>výpočty!$R$9</f>
        <v>Do tyłu</v>
      </c>
      <c r="C4" t="str">
        <f>výpočty!$R$3</f>
        <v>TOP Basic - wpuszczany do przykręcenia plastikowy</v>
      </c>
      <c r="D4" s="36" t="str">
        <f>výpočty!$W$5</f>
        <v>Szary (E23)</v>
      </c>
      <c r="E4" t="s">
        <v>2129</v>
      </c>
      <c r="F4">
        <v>0</v>
      </c>
      <c r="G4" t="s">
        <v>2139</v>
      </c>
      <c r="H4" t="str">
        <f>VLOOKUP(A:A,výpočty!$R$14:$S$15,2,FALSE)</f>
        <v>V</v>
      </c>
      <c r="I4" t="str">
        <f>VLOOKUP(B:B,výpočty!$R$9:$S$11,2,FALSE)</f>
        <v>X</v>
      </c>
      <c r="J4" t="str">
        <f>VLOOKUP(CHYBY!C:C,výpočty!$R$3:$S$7,2,FALSE)</f>
        <v>A</v>
      </c>
      <c r="K4">
        <f>VLOOKUP(D:D,výpočty!$W$3:$X$20,2,FALSE)</f>
        <v>3</v>
      </c>
      <c r="L4" t="str">
        <f t="shared" si="0"/>
        <v>VXA3</v>
      </c>
      <c r="M4" t="str">
        <f t="shared" si="1"/>
        <v/>
      </c>
      <c r="N4">
        <f t="shared" si="2"/>
        <v>0</v>
      </c>
      <c r="P4" s="341" t="s">
        <v>1214</v>
      </c>
      <c r="Q4" s="342" t="str">
        <f>výpočty!T4</f>
        <v>C</v>
      </c>
      <c r="U4" s="320" t="s">
        <v>1931</v>
      </c>
      <c r="V4">
        <f>SMER</f>
        <v>1</v>
      </c>
      <c r="W4" t="str">
        <f>VLOOKUP(V4,výpočty!Q14:R15,2,FALSE)</f>
        <v>Pionowy (z góry na dół)</v>
      </c>
    </row>
    <row r="5" spans="1:23" ht="14.4" thickBot="1" x14ac:dyDescent="0.35">
      <c r="A5" s="255" t="str">
        <f>výpočty!$R$14</f>
        <v>Pionowy (z góry na dół)</v>
      </c>
      <c r="B5" s="256" t="str">
        <f>výpočty!$R$9</f>
        <v>Do tyłu</v>
      </c>
      <c r="C5" t="str">
        <f>výpočty!$R$3</f>
        <v>TOP Basic - wpuszczany do przykręcenia plastikowy</v>
      </c>
      <c r="D5" s="36" t="str">
        <f>výpočty!$W$6</f>
        <v>Aluminowa plastik (E23)</v>
      </c>
      <c r="E5" t="s">
        <v>2129</v>
      </c>
      <c r="F5">
        <v>0</v>
      </c>
      <c r="G5" t="s">
        <v>2139</v>
      </c>
      <c r="H5" t="str">
        <f>VLOOKUP(A:A,výpočty!$R$14:$S$15,2,FALSE)</f>
        <v>V</v>
      </c>
      <c r="I5" t="str">
        <f>VLOOKUP(B:B,výpočty!$R$9:$S$11,2,FALSE)</f>
        <v>X</v>
      </c>
      <c r="J5" t="str">
        <f>VLOOKUP(CHYBY!C:C,výpočty!$R$3:$S$7,2,FALSE)</f>
        <v>A</v>
      </c>
      <c r="K5">
        <f>VLOOKUP(D:D,výpočty!$W$3:$X$20,2,FALSE)</f>
        <v>4</v>
      </c>
      <c r="L5" t="str">
        <f t="shared" si="0"/>
        <v>VXA4</v>
      </c>
      <c r="M5" t="str">
        <f t="shared" si="1"/>
        <v/>
      </c>
      <c r="N5">
        <f t="shared" si="2"/>
        <v>0</v>
      </c>
      <c r="P5" s="341" t="s">
        <v>1217</v>
      </c>
      <c r="Q5" s="342">
        <f>výpočty!Y4</f>
        <v>1</v>
      </c>
      <c r="U5" s="346" t="s">
        <v>1932</v>
      </c>
      <c r="V5">
        <f>výpočty!Y4</f>
        <v>1</v>
      </c>
      <c r="W5" t="str">
        <f>VLOOKUP(V5,výpočty!V3:W20,2,FALSE)</f>
        <v>Czarny (E23)</v>
      </c>
    </row>
    <row r="6" spans="1:23" ht="14.4" thickBot="1" x14ac:dyDescent="0.35">
      <c r="A6" s="255" t="str">
        <f>výpočty!$R$14</f>
        <v>Pionowy (z góry na dół)</v>
      </c>
      <c r="B6" s="256" t="str">
        <f>výpočty!$R$9</f>
        <v>Do tyłu</v>
      </c>
      <c r="C6" t="str">
        <f>výpočty!$R$3</f>
        <v>TOP Basic - wpuszczany do przykręcenia plastikowy</v>
      </c>
      <c r="D6" s="36" t="str">
        <f>výpočty!$W$7</f>
        <v>Buk (E23)</v>
      </c>
      <c r="E6" t="s">
        <v>2129</v>
      </c>
      <c r="F6">
        <v>0</v>
      </c>
      <c r="G6" t="s">
        <v>2139</v>
      </c>
      <c r="H6" t="str">
        <f>VLOOKUP(A:A,výpočty!$R$14:$S$15,2,FALSE)</f>
        <v>V</v>
      </c>
      <c r="I6" t="str">
        <f>VLOOKUP(B:B,výpočty!$R$9:$S$11,2,FALSE)</f>
        <v>X</v>
      </c>
      <c r="J6" t="str">
        <f>VLOOKUP(CHYBY!C:C,výpočty!$R$3:$S$7,2,FALSE)</f>
        <v>A</v>
      </c>
      <c r="K6">
        <f>VLOOKUP(D:D,výpočty!$W$3:$X$20,2,FALSE)</f>
        <v>5</v>
      </c>
      <c r="L6" t="str">
        <f t="shared" si="0"/>
        <v>VXA5</v>
      </c>
      <c r="M6" t="str">
        <f t="shared" si="1"/>
        <v/>
      </c>
      <c r="N6">
        <f t="shared" si="2"/>
        <v>0</v>
      </c>
      <c r="P6" s="343"/>
      <c r="Q6" s="339" t="str">
        <f>TRIM(CONCATENATE(Q2,Q3,Q4,Q5))</f>
        <v>VXC1</v>
      </c>
    </row>
    <row r="7" spans="1:23" ht="13.8" x14ac:dyDescent="0.3">
      <c r="A7" s="255" t="str">
        <f>výpočty!$R$14</f>
        <v>Pionowy (z góry na dół)</v>
      </c>
      <c r="B7" s="256" t="str">
        <f>výpočty!$R$9</f>
        <v>Do tyłu</v>
      </c>
      <c r="C7" t="str">
        <f>výpočty!$R$3</f>
        <v>TOP Basic - wpuszczany do przykręcenia plastikowy</v>
      </c>
      <c r="D7" s="36" t="str">
        <f>výpočty!$W$8</f>
        <v>Czereśnia (E23)</v>
      </c>
      <c r="E7" t="s">
        <v>2129</v>
      </c>
      <c r="F7">
        <v>0</v>
      </c>
      <c r="G7" t="s">
        <v>2139</v>
      </c>
      <c r="H7" t="str">
        <f>VLOOKUP(A:A,výpočty!$R$14:$S$15,2,FALSE)</f>
        <v>V</v>
      </c>
      <c r="I7" t="str">
        <f>VLOOKUP(B:B,výpočty!$R$9:$S$11,2,FALSE)</f>
        <v>X</v>
      </c>
      <c r="J7" t="str">
        <f>VLOOKUP(CHYBY!C:C,výpočty!$R$3:$S$7,2,FALSE)</f>
        <v>A</v>
      </c>
      <c r="K7">
        <f>VLOOKUP(D:D,výpočty!$W$3:$X$20,2,FALSE)</f>
        <v>6</v>
      </c>
      <c r="L7" t="str">
        <f t="shared" si="0"/>
        <v>VXA6</v>
      </c>
      <c r="M7" t="str">
        <f t="shared" si="1"/>
        <v/>
      </c>
      <c r="N7">
        <f t="shared" si="2"/>
        <v>0</v>
      </c>
      <c r="U7" s="17" t="s">
        <v>115</v>
      </c>
      <c r="V7">
        <f>'Objednávka žaluzií'!M9</f>
        <v>0</v>
      </c>
    </row>
    <row r="8" spans="1:23" ht="13.8" x14ac:dyDescent="0.3">
      <c r="A8" s="255" t="str">
        <f>výpočty!$R$14</f>
        <v>Pionowy (z góry na dół)</v>
      </c>
      <c r="B8" s="256" t="str">
        <f>výpočty!$R$9</f>
        <v>Do tyłu</v>
      </c>
      <c r="C8" t="str">
        <f>výpočty!$R$3</f>
        <v>TOP Basic - wpuszczany do przykręcenia plastikowy</v>
      </c>
      <c r="D8" s="36" t="str">
        <f>výpočty!$W$9</f>
        <v>Klon (E23)</v>
      </c>
      <c r="E8" t="s">
        <v>2129</v>
      </c>
      <c r="F8">
        <v>0</v>
      </c>
      <c r="G8" t="s">
        <v>2139</v>
      </c>
      <c r="H8" t="str">
        <f>VLOOKUP(A:A,výpočty!$R$14:$S$15,2,FALSE)</f>
        <v>V</v>
      </c>
      <c r="I8" t="str">
        <f>VLOOKUP(B:B,výpočty!$R$9:$S$11,2,FALSE)</f>
        <v>X</v>
      </c>
      <c r="J8" t="str">
        <f>VLOOKUP(CHYBY!C:C,výpočty!$R$3:$S$7,2,FALSE)</f>
        <v>A</v>
      </c>
      <c r="K8">
        <f>VLOOKUP(D:D,výpočty!$W$3:$X$20,2,FALSE)</f>
        <v>7</v>
      </c>
      <c r="L8" t="str">
        <f t="shared" si="0"/>
        <v>VXA7</v>
      </c>
      <c r="M8" t="str">
        <f t="shared" si="1"/>
        <v/>
      </c>
      <c r="N8">
        <f t="shared" si="2"/>
        <v>0</v>
      </c>
      <c r="U8" s="17" t="s">
        <v>1985</v>
      </c>
      <c r="V8">
        <f>'Objednávka žaluzií'!M11</f>
        <v>0</v>
      </c>
    </row>
    <row r="9" spans="1:23" ht="13.8" x14ac:dyDescent="0.3">
      <c r="A9" s="255" t="str">
        <f>výpočty!$R$14</f>
        <v>Pionowy (z góry na dół)</v>
      </c>
      <c r="B9" s="256" t="str">
        <f>výpočty!$R$9</f>
        <v>Do tyłu</v>
      </c>
      <c r="C9" t="str">
        <f>výpočty!$R$3</f>
        <v>TOP Basic - wpuszczany do przykręcenia plastikowy</v>
      </c>
      <c r="D9" s="36" t="str">
        <f>výpočty!$W$10</f>
        <v>Brzoza (E23)</v>
      </c>
      <c r="E9" t="s">
        <v>2129</v>
      </c>
      <c r="F9">
        <v>0</v>
      </c>
      <c r="G9" t="s">
        <v>2139</v>
      </c>
      <c r="H9" t="str">
        <f>VLOOKUP(A:A,výpočty!$R$14:$S$15,2,FALSE)</f>
        <v>V</v>
      </c>
      <c r="I9" t="str">
        <f>VLOOKUP(B:B,výpočty!$R$9:$S$11,2,FALSE)</f>
        <v>X</v>
      </c>
      <c r="J9" t="str">
        <f>VLOOKUP(CHYBY!C:C,výpočty!$R$3:$S$7,2,FALSE)</f>
        <v>A</v>
      </c>
      <c r="K9">
        <f>VLOOKUP(D:D,výpočty!$W$3:$X$20,2,FALSE)</f>
        <v>8</v>
      </c>
      <c r="L9" t="str">
        <f t="shared" si="0"/>
        <v>VXA8</v>
      </c>
      <c r="M9" t="str">
        <f t="shared" si="1"/>
        <v/>
      </c>
      <c r="N9">
        <f t="shared" si="2"/>
        <v>0</v>
      </c>
      <c r="U9" s="17" t="s">
        <v>2155</v>
      </c>
      <c r="V9">
        <f>'Objednávka žaluzií'!M13</f>
        <v>0</v>
      </c>
    </row>
    <row r="10" spans="1:23" ht="13.8" x14ac:dyDescent="0.3">
      <c r="A10" s="255" t="str">
        <f>výpočty!$R$14</f>
        <v>Pionowy (z góry na dół)</v>
      </c>
      <c r="B10" s="256" t="str">
        <f>výpočty!$R$9</f>
        <v>Do tyłu</v>
      </c>
      <c r="C10" t="str">
        <f>výpočty!$R$3</f>
        <v>TOP Basic - wpuszczany do przykręcenia plastikowy</v>
      </c>
      <c r="D10" s="36" t="str">
        <f>výpočty!$W$11</f>
        <v>Czereśnia havana (E23)</v>
      </c>
      <c r="E10" t="s">
        <v>2129</v>
      </c>
      <c r="F10">
        <v>0</v>
      </c>
      <c r="G10" t="s">
        <v>2139</v>
      </c>
      <c r="H10" t="str">
        <f>VLOOKUP(A:A,výpočty!$R$14:$S$15,2,FALSE)</f>
        <v>V</v>
      </c>
      <c r="I10" t="str">
        <f>VLOOKUP(B:B,výpočty!$R$9:$S$11,2,FALSE)</f>
        <v>X</v>
      </c>
      <c r="J10" t="str">
        <f>VLOOKUP(CHYBY!C:C,výpočty!$R$3:$S$7,2,FALSE)</f>
        <v>A</v>
      </c>
      <c r="K10">
        <f>VLOOKUP(D:D,výpočty!$W$3:$X$20,2,FALSE)</f>
        <v>9</v>
      </c>
      <c r="L10" t="str">
        <f t="shared" si="0"/>
        <v>VXA9</v>
      </c>
      <c r="M10" t="str">
        <f t="shared" si="1"/>
        <v/>
      </c>
      <c r="N10">
        <f t="shared" si="2"/>
        <v>0</v>
      </c>
    </row>
    <row r="11" spans="1:23" ht="13.8" x14ac:dyDescent="0.3">
      <c r="A11" s="255" t="str">
        <f>výpočty!$R$14</f>
        <v>Pionowy (z góry na dół)</v>
      </c>
      <c r="B11" s="256" t="str">
        <f>výpočty!$R$9</f>
        <v>Do tyłu</v>
      </c>
      <c r="C11" t="str">
        <f>výpočty!$R$3</f>
        <v>TOP Basic - wpuszczany do przykręcenia plastikowy</v>
      </c>
      <c r="D11" s="36" t="str">
        <f>výpočty!$W$12</f>
        <v>Calvados (E23)</v>
      </c>
      <c r="E11" t="s">
        <v>2129</v>
      </c>
      <c r="F11">
        <v>0</v>
      </c>
      <c r="G11" t="s">
        <v>2139</v>
      </c>
      <c r="H11" t="str">
        <f>VLOOKUP(A:A,výpočty!$R$14:$S$15,2,FALSE)</f>
        <v>V</v>
      </c>
      <c r="I11" t="str">
        <f>VLOOKUP(B:B,výpočty!$R$9:$S$11,2,FALSE)</f>
        <v>X</v>
      </c>
      <c r="J11" t="str">
        <f>VLOOKUP(CHYBY!C:C,výpočty!$R$3:$S$7,2,FALSE)</f>
        <v>A</v>
      </c>
      <c r="K11">
        <f>VLOOKUP(D:D,výpočty!$W$3:$X$20,2,FALSE)</f>
        <v>10</v>
      </c>
      <c r="L11" t="str">
        <f t="shared" si="0"/>
        <v>VXA10</v>
      </c>
      <c r="M11" t="str">
        <f t="shared" si="1"/>
        <v/>
      </c>
      <c r="N11">
        <f t="shared" si="2"/>
        <v>0</v>
      </c>
      <c r="T11" s="590" t="s">
        <v>2286</v>
      </c>
      <c r="U11" s="347" t="str">
        <f>IF(AND(V7&gt;800,V3&lt;&gt;3,V4=1),Překlady!A155,"")</f>
        <v/>
      </c>
    </row>
    <row r="12" spans="1:23" ht="13.8" x14ac:dyDescent="0.3">
      <c r="A12" s="255" t="str">
        <f>výpočty!$R$14</f>
        <v>Pionowy (z góry na dół)</v>
      </c>
      <c r="B12" s="256" t="str">
        <f>výpočty!$R$9</f>
        <v>Do tyłu</v>
      </c>
      <c r="C12" t="str">
        <f>výpočty!$R$3</f>
        <v>TOP Basic - wpuszczany do przykręcenia plastikowy</v>
      </c>
      <c r="D12" s="350" t="str">
        <f>výpočty!$W$14</f>
        <v>śnieżno biala mat (E9)</v>
      </c>
      <c r="E12" s="321" t="s">
        <v>2130</v>
      </c>
      <c r="F12" s="321">
        <v>1</v>
      </c>
      <c r="G12" s="321" t="str">
        <f>Překlady!$A$142</f>
        <v>Kolor śnieżno biały w profilu E9 można łączyć jedynie z prowadzeniem Classic i systemem nawijania do tyłu</v>
      </c>
      <c r="H12" t="str">
        <f>VLOOKUP(A:A,výpočty!$R$14:$S$15,2,FALSE)</f>
        <v>V</v>
      </c>
      <c r="I12" t="str">
        <f>VLOOKUP(B:B,výpočty!$R$9:$S$11,2,FALSE)</f>
        <v>X</v>
      </c>
      <c r="J12" t="str">
        <f>VLOOKUP(CHYBY!C:C,výpočty!$R$3:$S$7,2,FALSE)</f>
        <v>A</v>
      </c>
      <c r="K12">
        <f>VLOOKUP(D:D,výpočty!$W$3:$X$20,2,FALSE)</f>
        <v>12</v>
      </c>
      <c r="L12" t="str">
        <f t="shared" si="0"/>
        <v>VXA12</v>
      </c>
      <c r="M12" t="str">
        <f t="shared" si="1"/>
        <v>Kolor śnieżno biały w profilu E9 można łączyć jedynie z prowadzeniem Classic i systemem nawijania do tyłu</v>
      </c>
      <c r="N12">
        <f t="shared" si="2"/>
        <v>1</v>
      </c>
      <c r="T12" s="590"/>
      <c r="U12" s="347" t="str">
        <f>IF(AND(V8&gt;(1200-36),V4=1),Překlady!A156,"")</f>
        <v/>
      </c>
    </row>
    <row r="13" spans="1:23" ht="13.8" x14ac:dyDescent="0.3">
      <c r="A13" s="255" t="str">
        <f>výpočty!$R$14</f>
        <v>Pionowy (z góry na dół)</v>
      </c>
      <c r="B13" s="256" t="str">
        <f>výpočty!$R$9</f>
        <v>Do tyłu</v>
      </c>
      <c r="C13" t="str">
        <f>výpočty!$R$3</f>
        <v>TOP Basic - wpuszczany do przykręcenia plastikowy</v>
      </c>
      <c r="D13" s="36" t="str">
        <f>výpočty!$W$15</f>
        <v>Aluminowa plastik (E4)</v>
      </c>
      <c r="E13" t="s">
        <v>2130</v>
      </c>
      <c r="F13">
        <v>1</v>
      </c>
      <c r="G13" s="321" t="str">
        <f>Překlady!$A$143</f>
        <v>Kolor aluminium plastik w profilu E4 jest idealny do poziomych rozwiązań w kombinacji z prowadzeniem Classic z systemem nawijania do tyłu</v>
      </c>
      <c r="H13" t="str">
        <f>VLOOKUP(A:A,výpočty!$R$14:$S$15,2,FALSE)</f>
        <v>V</v>
      </c>
      <c r="I13" t="str">
        <f>VLOOKUP(B:B,výpočty!$R$9:$S$11,2,FALSE)</f>
        <v>X</v>
      </c>
      <c r="J13" t="str">
        <f>VLOOKUP(CHYBY!C:C,výpočty!$R$3:$S$7,2,FALSE)</f>
        <v>A</v>
      </c>
      <c r="K13">
        <f>VLOOKUP(D:D,výpočty!$W$3:$X$20,2,FALSE)</f>
        <v>13</v>
      </c>
      <c r="L13" t="str">
        <f t="shared" si="0"/>
        <v>VXA13</v>
      </c>
      <c r="M13" t="str">
        <f t="shared" si="1"/>
        <v>Kolor aluminium plastik w profilu E4 jest idealny do poziomych rozwiązań w kombinacji z prowadzeniem Classic z systemem nawijania do tyłu</v>
      </c>
      <c r="N13">
        <f t="shared" si="2"/>
        <v>1</v>
      </c>
      <c r="T13" s="590"/>
      <c r="U13" s="349" t="str">
        <f>IF(AND(V4=2,V5&lt;&gt;13,V7&gt;1150),Překlady!A157,"")</f>
        <v/>
      </c>
    </row>
    <row r="14" spans="1:23" ht="13.8" x14ac:dyDescent="0.3">
      <c r="A14" s="255" t="str">
        <f>výpočty!$R$14</f>
        <v>Pionowy (z góry na dół)</v>
      </c>
      <c r="B14" s="256" t="str">
        <f>výpočty!$R$9</f>
        <v>Do tyłu</v>
      </c>
      <c r="C14" t="str">
        <f>výpočty!$R$3</f>
        <v>TOP Basic - wpuszczany do przykręcenia plastikowy</v>
      </c>
      <c r="D14" s="36">
        <f>výpočty!$W$17</f>
        <v>0</v>
      </c>
      <c r="E14" t="s">
        <v>2130</v>
      </c>
      <c r="F14">
        <v>1</v>
      </c>
      <c r="G14" s="321" t="str">
        <f>Překlady!$A$144</f>
        <v>Systemu prowadzenia TOP BASIC nie da się zastosować z roletowym profilem Metallic line. Należy wybrać wersję TOP.</v>
      </c>
      <c r="H14" t="str">
        <f>VLOOKUP(A:A,výpočty!$R$14:$S$15,2,FALSE)</f>
        <v>V</v>
      </c>
      <c r="I14" t="str">
        <f>VLOOKUP(B:B,výpočty!$R$9:$S$11,2,FALSE)</f>
        <v>X</v>
      </c>
      <c r="J14" t="str">
        <f>VLOOKUP(CHYBY!C:C,výpočty!$R$3:$S$7,2,FALSE)</f>
        <v>A</v>
      </c>
      <c r="K14" t="e">
        <f>VLOOKUP(D:D,výpočty!$W$3:$X$20,2,FALSE)</f>
        <v>#N/A</v>
      </c>
      <c r="L14" t="e">
        <f t="shared" si="0"/>
        <v>#N/A</v>
      </c>
      <c r="M14" t="str">
        <f t="shared" si="1"/>
        <v>Systemu prowadzenia TOP BASIC nie da się zastosować z roletowym profilem Metallic line. Należy wybrać wersję TOP.</v>
      </c>
      <c r="N14">
        <f t="shared" si="2"/>
        <v>1</v>
      </c>
      <c r="T14" s="590"/>
      <c r="U14" s="347" t="str">
        <f>IF(AND(V4=2,V5=13,V7&gt;1900),Překlady!A158,"")</f>
        <v/>
      </c>
    </row>
    <row r="15" spans="1:23" ht="13.8" x14ac:dyDescent="0.3">
      <c r="A15" s="255" t="str">
        <f>výpočty!$R$14</f>
        <v>Pionowy (z góry na dół)</v>
      </c>
      <c r="B15" s="256" t="str">
        <f>výpočty!$R$9</f>
        <v>Do tyłu</v>
      </c>
      <c r="C15" t="str">
        <f>výpočty!$R$3</f>
        <v>TOP Basic - wpuszczany do przykręcenia plastikowy</v>
      </c>
      <c r="D15" s="36">
        <f>výpočty!$W$18</f>
        <v>0</v>
      </c>
      <c r="E15" t="s">
        <v>2130</v>
      </c>
      <c r="F15">
        <v>1</v>
      </c>
      <c r="G15" s="321" t="str">
        <f>Překlady!$A$144</f>
        <v>Systemu prowadzenia TOP BASIC nie da się zastosować z roletowym profilem Metallic line. Należy wybrać wersję TOP.</v>
      </c>
      <c r="H15" t="str">
        <f>VLOOKUP(A:A,výpočty!$R$14:$S$15,2,FALSE)</f>
        <v>V</v>
      </c>
      <c r="I15" t="str">
        <f>VLOOKUP(B:B,výpočty!$R$9:$S$11,2,FALSE)</f>
        <v>X</v>
      </c>
      <c r="J15" t="str">
        <f>VLOOKUP(CHYBY!C:C,výpočty!$R$3:$S$7,2,FALSE)</f>
        <v>A</v>
      </c>
      <c r="K15" t="e">
        <f>VLOOKUP(D:D,výpočty!$W$3:$X$20,2,FALSE)</f>
        <v>#N/A</v>
      </c>
      <c r="L15" t="e">
        <f t="shared" si="0"/>
        <v>#N/A</v>
      </c>
      <c r="M15" t="str">
        <f t="shared" si="1"/>
        <v>Systemu prowadzenia TOP BASIC nie da się zastosować z roletowym profilem Metallic line. Należy wybrać wersję TOP.</v>
      </c>
      <c r="N15">
        <f t="shared" si="2"/>
        <v>1</v>
      </c>
      <c r="T15" s="590"/>
      <c r="U15" s="347" t="str">
        <f>IF(AND(V4=1,V3=3,OR(OR(V7&lt;(650-36),V7&gt;(2200-36)),OR(V8&lt;(400-36),V8&gt;(1200-36)))),Překlady!A171,"")</f>
        <v/>
      </c>
    </row>
    <row r="16" spans="1:23" ht="13.8" x14ac:dyDescent="0.3">
      <c r="A16" s="255" t="str">
        <f>výpočty!$R$14</f>
        <v>Pionowy (z góry na dół)</v>
      </c>
      <c r="B16" s="256" t="str">
        <f>výpočty!$R$9</f>
        <v>Do tyłu</v>
      </c>
      <c r="C16" t="str">
        <f>výpočty!$R$3</f>
        <v>TOP Basic - wpuszczany do przykręcenia plastikowy</v>
      </c>
      <c r="D16" s="36" t="str">
        <f>výpočty!$W$19</f>
        <v>Aluminium szerokość 25 mm (metallic-line)</v>
      </c>
      <c r="E16" t="s">
        <v>2130</v>
      </c>
      <c r="F16">
        <v>1</v>
      </c>
      <c r="G16" s="321" t="str">
        <f>Překlady!$A$144</f>
        <v>Systemu prowadzenia TOP BASIC nie da się zastosować z roletowym profilem Metallic line. Należy wybrać wersję TOP.</v>
      </c>
      <c r="H16" t="str">
        <f>VLOOKUP(A:A,výpočty!$R$14:$S$15,2,FALSE)</f>
        <v>V</v>
      </c>
      <c r="I16" t="str">
        <f>VLOOKUP(B:B,výpočty!$R$9:$S$11,2,FALSE)</f>
        <v>X</v>
      </c>
      <c r="J16" t="str">
        <f>VLOOKUP(CHYBY!C:C,výpočty!$R$3:$S$7,2,FALSE)</f>
        <v>A</v>
      </c>
      <c r="K16">
        <f>VLOOKUP(D:D,výpočty!$W$3:$X$20,2,FALSE)</f>
        <v>17</v>
      </c>
      <c r="L16" t="str">
        <f t="shared" si="0"/>
        <v>VXA17</v>
      </c>
      <c r="M16" t="str">
        <f t="shared" si="1"/>
        <v>Systemu prowadzenia TOP BASIC nie da się zastosować z roletowym profilem Metallic line. Należy wybrać wersję TOP.</v>
      </c>
      <c r="N16">
        <f t="shared" si="2"/>
        <v>1</v>
      </c>
    </row>
    <row r="17" spans="1:23" ht="14.4" thickBot="1" x14ac:dyDescent="0.35">
      <c r="A17" s="255" t="str">
        <f>výpočty!$R$14</f>
        <v>Pionowy (z góry na dół)</v>
      </c>
      <c r="B17" s="256" t="str">
        <f>výpočty!$R$9</f>
        <v>Do tyłu</v>
      </c>
      <c r="C17" t="str">
        <f>výpočty!$R$3</f>
        <v>TOP Basic - wpuszczany do przykręcenia plastikowy</v>
      </c>
      <c r="D17" s="27" t="str">
        <f>výpočty!$W$20</f>
        <v>Nierdz. szerokość 25 mm (metallic-line)</v>
      </c>
      <c r="E17" t="s">
        <v>2130</v>
      </c>
      <c r="F17">
        <v>1</v>
      </c>
      <c r="G17" s="321" t="str">
        <f>Překlady!$A$144</f>
        <v>Systemu prowadzenia TOP BASIC nie da się zastosować z roletowym profilem Metallic line. Należy wybrać wersję TOP.</v>
      </c>
      <c r="H17" t="str">
        <f>VLOOKUP(A:A,výpočty!$R$14:$S$15,2,FALSE)</f>
        <v>V</v>
      </c>
      <c r="I17" t="str">
        <f>VLOOKUP(B:B,výpočty!$R$9:$S$11,2,FALSE)</f>
        <v>X</v>
      </c>
      <c r="J17" t="str">
        <f>VLOOKUP(CHYBY!C:C,výpočty!$R$3:$S$7,2,FALSE)</f>
        <v>A</v>
      </c>
      <c r="K17">
        <f>VLOOKUP(D:D,výpočty!$W$3:$X$20,2,FALSE)</f>
        <v>18</v>
      </c>
      <c r="L17" t="str">
        <f t="shared" si="0"/>
        <v>VXA18</v>
      </c>
      <c r="M17" t="str">
        <f t="shared" si="1"/>
        <v>Systemu prowadzenia TOP BASIC nie da się zastosować z roletowym profilem Metallic line. Należy wybrać wersję TOP.</v>
      </c>
      <c r="N17">
        <f t="shared" si="2"/>
        <v>1</v>
      </c>
      <c r="V17" t="b">
        <f>OR(OR(V7&lt;650,V7&gt;2200),OR(V8&lt;400,V7&gt;1200))</f>
        <v>1</v>
      </c>
      <c r="W17" t="b">
        <f>OR(V7&lt;650,V7&gt;2200)</f>
        <v>1</v>
      </c>
    </row>
    <row r="18" spans="1:23" ht="13.8" x14ac:dyDescent="0.3">
      <c r="A18" s="255" t="str">
        <f>výpočty!$R$14</f>
        <v>Pionowy (z góry na dół)</v>
      </c>
      <c r="B18" s="256" t="str">
        <f>výpočty!$R$9</f>
        <v>Do tyłu</v>
      </c>
      <c r="C18" t="str">
        <f>výpočty!$R$4</f>
        <v>Classic - wpuszczany do zafrezowania</v>
      </c>
      <c r="D18" s="26" t="str">
        <f>výpočty!$W$3</f>
        <v>Czarny (E23)</v>
      </c>
      <c r="E18" t="s">
        <v>2129</v>
      </c>
      <c r="F18">
        <v>0</v>
      </c>
      <c r="G18" t="s">
        <v>2139</v>
      </c>
      <c r="H18" t="str">
        <f>VLOOKUP(A:A,výpočty!$R$14:$S$15,2,FALSE)</f>
        <v>V</v>
      </c>
      <c r="I18" t="str">
        <f>VLOOKUP(B:B,výpočty!$R$9:$S$11,2,FALSE)</f>
        <v>X</v>
      </c>
      <c r="J18" t="str">
        <f>VLOOKUP(CHYBY!C:C,výpočty!$R$3:$S$7,2,FALSE)</f>
        <v>B</v>
      </c>
      <c r="K18">
        <f>VLOOKUP(D:D,výpočty!$W$3:$X$20,2,FALSE)</f>
        <v>1</v>
      </c>
      <c r="L18" t="str">
        <f t="shared" si="0"/>
        <v>VXB1</v>
      </c>
      <c r="M18" t="str">
        <f t="shared" si="1"/>
        <v/>
      </c>
      <c r="N18">
        <f t="shared" si="2"/>
        <v>0</v>
      </c>
      <c r="W18" t="b">
        <f>OR(V8&lt;400,V7&gt;1200)</f>
        <v>1</v>
      </c>
    </row>
    <row r="19" spans="1:23" ht="13.8" x14ac:dyDescent="0.3">
      <c r="A19" s="255" t="str">
        <f>výpočty!$R$14</f>
        <v>Pionowy (z góry na dół)</v>
      </c>
      <c r="B19" s="256" t="str">
        <f>výpočty!$R$9</f>
        <v>Do tyłu</v>
      </c>
      <c r="C19" t="str">
        <f>výpočty!$R$4</f>
        <v>Classic - wpuszczany do zafrezowania</v>
      </c>
      <c r="D19" s="36" t="str">
        <f>výpočty!$W$4</f>
        <v>Biały (E23)</v>
      </c>
      <c r="E19" t="s">
        <v>2129</v>
      </c>
      <c r="F19">
        <v>0</v>
      </c>
      <c r="G19" t="s">
        <v>2139</v>
      </c>
      <c r="H19" t="str">
        <f>VLOOKUP(A:A,výpočty!$R$14:$S$15,2,FALSE)</f>
        <v>V</v>
      </c>
      <c r="I19" t="str">
        <f>VLOOKUP(B:B,výpočty!$R$9:$S$11,2,FALSE)</f>
        <v>X</v>
      </c>
      <c r="J19" t="str">
        <f>VLOOKUP(CHYBY!C:C,výpočty!$R$3:$S$7,2,FALSE)</f>
        <v>B</v>
      </c>
      <c r="K19">
        <f>VLOOKUP(D:D,výpočty!$W$3:$X$20,2,FALSE)</f>
        <v>2</v>
      </c>
      <c r="L19" t="str">
        <f t="shared" si="0"/>
        <v>VXB2</v>
      </c>
      <c r="M19" t="str">
        <f t="shared" si="1"/>
        <v/>
      </c>
      <c r="N19">
        <f t="shared" si="2"/>
        <v>0</v>
      </c>
    </row>
    <row r="20" spans="1:23" ht="13.8" x14ac:dyDescent="0.3">
      <c r="A20" s="255" t="str">
        <f>výpočty!$R$14</f>
        <v>Pionowy (z góry na dół)</v>
      </c>
      <c r="B20" s="256" t="str">
        <f>výpočty!$R$9</f>
        <v>Do tyłu</v>
      </c>
      <c r="C20" t="str">
        <f>výpočty!$R$4</f>
        <v>Classic - wpuszczany do zafrezowania</v>
      </c>
      <c r="D20" s="36" t="str">
        <f>výpočty!$W$5</f>
        <v>Szary (E23)</v>
      </c>
      <c r="E20" t="s">
        <v>2129</v>
      </c>
      <c r="F20">
        <v>0</v>
      </c>
      <c r="G20" t="s">
        <v>2139</v>
      </c>
      <c r="H20" t="str">
        <f>VLOOKUP(A:A,výpočty!$R$14:$S$15,2,FALSE)</f>
        <v>V</v>
      </c>
      <c r="I20" t="str">
        <f>VLOOKUP(B:B,výpočty!$R$9:$S$11,2,FALSE)</f>
        <v>X</v>
      </c>
      <c r="J20" t="str">
        <f>VLOOKUP(CHYBY!C:C,výpočty!$R$3:$S$7,2,FALSE)</f>
        <v>B</v>
      </c>
      <c r="K20">
        <f>VLOOKUP(D:D,výpočty!$W$3:$X$20,2,FALSE)</f>
        <v>3</v>
      </c>
      <c r="L20" t="str">
        <f t="shared" si="0"/>
        <v>VXB3</v>
      </c>
      <c r="M20" t="str">
        <f t="shared" si="1"/>
        <v/>
      </c>
      <c r="N20">
        <f t="shared" si="2"/>
        <v>0</v>
      </c>
    </row>
    <row r="21" spans="1:23" ht="13.8" x14ac:dyDescent="0.3">
      <c r="A21" s="255" t="str">
        <f>výpočty!$R$14</f>
        <v>Pionowy (z góry na dół)</v>
      </c>
      <c r="B21" s="256" t="str">
        <f>výpočty!$R$9</f>
        <v>Do tyłu</v>
      </c>
      <c r="C21" t="str">
        <f>výpočty!$R$4</f>
        <v>Classic - wpuszczany do zafrezowania</v>
      </c>
      <c r="D21" s="36" t="str">
        <f>výpočty!$W$6</f>
        <v>Aluminowa plastik (E23)</v>
      </c>
      <c r="E21" t="s">
        <v>2129</v>
      </c>
      <c r="F21">
        <v>0</v>
      </c>
      <c r="G21" t="s">
        <v>2139</v>
      </c>
      <c r="H21" t="str">
        <f>VLOOKUP(A:A,výpočty!$R$14:$S$15,2,FALSE)</f>
        <v>V</v>
      </c>
      <c r="I21" t="str">
        <f>VLOOKUP(B:B,výpočty!$R$9:$S$11,2,FALSE)</f>
        <v>X</v>
      </c>
      <c r="J21" t="str">
        <f>VLOOKUP(CHYBY!C:C,výpočty!$R$3:$S$7,2,FALSE)</f>
        <v>B</v>
      </c>
      <c r="K21">
        <f>VLOOKUP(D:D,výpočty!$W$3:$X$20,2,FALSE)</f>
        <v>4</v>
      </c>
      <c r="L21" t="str">
        <f t="shared" si="0"/>
        <v>VXB4</v>
      </c>
      <c r="M21" t="str">
        <f t="shared" si="1"/>
        <v/>
      </c>
      <c r="N21">
        <f t="shared" si="2"/>
        <v>0</v>
      </c>
    </row>
    <row r="22" spans="1:23" ht="13.8" x14ac:dyDescent="0.3">
      <c r="A22" s="255" t="str">
        <f>výpočty!$R$14</f>
        <v>Pionowy (z góry na dół)</v>
      </c>
      <c r="B22" s="256" t="str">
        <f>výpočty!$R$9</f>
        <v>Do tyłu</v>
      </c>
      <c r="C22" t="str">
        <f>výpočty!$R$4</f>
        <v>Classic - wpuszczany do zafrezowania</v>
      </c>
      <c r="D22" s="36" t="str">
        <f>výpočty!$W$7</f>
        <v>Buk (E23)</v>
      </c>
      <c r="E22" t="s">
        <v>2129</v>
      </c>
      <c r="F22">
        <v>0</v>
      </c>
      <c r="G22" t="s">
        <v>2139</v>
      </c>
      <c r="H22" t="str">
        <f>VLOOKUP(A:A,výpočty!$R$14:$S$15,2,FALSE)</f>
        <v>V</v>
      </c>
      <c r="I22" t="str">
        <f>VLOOKUP(B:B,výpočty!$R$9:$S$11,2,FALSE)</f>
        <v>X</v>
      </c>
      <c r="J22" t="str">
        <f>VLOOKUP(CHYBY!C:C,výpočty!$R$3:$S$7,2,FALSE)</f>
        <v>B</v>
      </c>
      <c r="K22">
        <f>VLOOKUP(D:D,výpočty!$W$3:$X$20,2,FALSE)</f>
        <v>5</v>
      </c>
      <c r="L22" t="str">
        <f t="shared" si="0"/>
        <v>VXB5</v>
      </c>
      <c r="M22" t="str">
        <f t="shared" si="1"/>
        <v/>
      </c>
      <c r="N22">
        <f t="shared" si="2"/>
        <v>0</v>
      </c>
    </row>
    <row r="23" spans="1:23" ht="13.8" x14ac:dyDescent="0.3">
      <c r="A23" s="255" t="str">
        <f>výpočty!$R$14</f>
        <v>Pionowy (z góry na dół)</v>
      </c>
      <c r="B23" s="256" t="str">
        <f>výpočty!$R$9</f>
        <v>Do tyłu</v>
      </c>
      <c r="C23" t="str">
        <f>výpočty!$R$4</f>
        <v>Classic - wpuszczany do zafrezowania</v>
      </c>
      <c r="D23" s="36" t="str">
        <f>výpočty!$W$8</f>
        <v>Czereśnia (E23)</v>
      </c>
      <c r="E23" t="s">
        <v>2129</v>
      </c>
      <c r="F23">
        <v>0</v>
      </c>
      <c r="G23" t="s">
        <v>2139</v>
      </c>
      <c r="H23" t="str">
        <f>VLOOKUP(A:A,výpočty!$R$14:$S$15,2,FALSE)</f>
        <v>V</v>
      </c>
      <c r="I23" t="str">
        <f>VLOOKUP(B:B,výpočty!$R$9:$S$11,2,FALSE)</f>
        <v>X</v>
      </c>
      <c r="J23" t="str">
        <f>VLOOKUP(CHYBY!C:C,výpočty!$R$3:$S$7,2,FALSE)</f>
        <v>B</v>
      </c>
      <c r="K23">
        <f>VLOOKUP(D:D,výpočty!$W$3:$X$20,2,FALSE)</f>
        <v>6</v>
      </c>
      <c r="L23" t="str">
        <f t="shared" si="0"/>
        <v>VXB6</v>
      </c>
      <c r="M23" t="str">
        <f t="shared" si="1"/>
        <v/>
      </c>
      <c r="N23">
        <f t="shared" si="2"/>
        <v>0</v>
      </c>
    </row>
    <row r="24" spans="1:23" ht="13.8" x14ac:dyDescent="0.3">
      <c r="A24" s="255" t="str">
        <f>výpočty!$R$14</f>
        <v>Pionowy (z góry na dół)</v>
      </c>
      <c r="B24" s="256" t="str">
        <f>výpočty!$R$9</f>
        <v>Do tyłu</v>
      </c>
      <c r="C24" t="str">
        <f>výpočty!$R$4</f>
        <v>Classic - wpuszczany do zafrezowania</v>
      </c>
      <c r="D24" s="36" t="str">
        <f>výpočty!$W$9</f>
        <v>Klon (E23)</v>
      </c>
      <c r="E24" t="s">
        <v>2129</v>
      </c>
      <c r="F24">
        <v>0</v>
      </c>
      <c r="G24" t="s">
        <v>2139</v>
      </c>
      <c r="H24" t="str">
        <f>VLOOKUP(A:A,výpočty!$R$14:$S$15,2,FALSE)</f>
        <v>V</v>
      </c>
      <c r="I24" t="str">
        <f>VLOOKUP(B:B,výpočty!$R$9:$S$11,2,FALSE)</f>
        <v>X</v>
      </c>
      <c r="J24" t="str">
        <f>VLOOKUP(CHYBY!C:C,výpočty!$R$3:$S$7,2,FALSE)</f>
        <v>B</v>
      </c>
      <c r="K24">
        <f>VLOOKUP(D:D,výpočty!$W$3:$X$20,2,FALSE)</f>
        <v>7</v>
      </c>
      <c r="L24" t="str">
        <f t="shared" si="0"/>
        <v>VXB7</v>
      </c>
      <c r="M24" t="str">
        <f t="shared" si="1"/>
        <v/>
      </c>
      <c r="N24">
        <f t="shared" si="2"/>
        <v>0</v>
      </c>
    </row>
    <row r="25" spans="1:23" ht="13.8" x14ac:dyDescent="0.3">
      <c r="A25" s="255" t="str">
        <f>výpočty!$R$14</f>
        <v>Pionowy (z góry na dół)</v>
      </c>
      <c r="B25" s="256" t="str">
        <f>výpočty!$R$9</f>
        <v>Do tyłu</v>
      </c>
      <c r="C25" t="str">
        <f>výpočty!$R$4</f>
        <v>Classic - wpuszczany do zafrezowania</v>
      </c>
      <c r="D25" s="36" t="str">
        <f>výpočty!$W$10</f>
        <v>Brzoza (E23)</v>
      </c>
      <c r="E25" t="s">
        <v>2129</v>
      </c>
      <c r="F25">
        <v>0</v>
      </c>
      <c r="G25" t="s">
        <v>2139</v>
      </c>
      <c r="H25" t="str">
        <f>VLOOKUP(A:A,výpočty!$R$14:$S$15,2,FALSE)</f>
        <v>V</v>
      </c>
      <c r="I25" t="str">
        <f>VLOOKUP(B:B,výpočty!$R$9:$S$11,2,FALSE)</f>
        <v>X</v>
      </c>
      <c r="J25" t="str">
        <f>VLOOKUP(CHYBY!C:C,výpočty!$R$3:$S$7,2,FALSE)</f>
        <v>B</v>
      </c>
      <c r="K25">
        <f>VLOOKUP(D:D,výpočty!$W$3:$X$20,2,FALSE)</f>
        <v>8</v>
      </c>
      <c r="L25" t="str">
        <f t="shared" si="0"/>
        <v>VXB8</v>
      </c>
      <c r="M25" t="str">
        <f t="shared" si="1"/>
        <v/>
      </c>
      <c r="N25">
        <f t="shared" si="2"/>
        <v>0</v>
      </c>
    </row>
    <row r="26" spans="1:23" ht="13.8" x14ac:dyDescent="0.3">
      <c r="A26" s="255" t="str">
        <f>výpočty!$R$14</f>
        <v>Pionowy (z góry na dół)</v>
      </c>
      <c r="B26" s="256" t="str">
        <f>výpočty!$R$9</f>
        <v>Do tyłu</v>
      </c>
      <c r="C26" t="str">
        <f>výpočty!$R$4</f>
        <v>Classic - wpuszczany do zafrezowania</v>
      </c>
      <c r="D26" s="36" t="str">
        <f>výpočty!$W$11</f>
        <v>Czereśnia havana (E23)</v>
      </c>
      <c r="E26" t="s">
        <v>2129</v>
      </c>
      <c r="F26">
        <v>0</v>
      </c>
      <c r="G26" t="s">
        <v>2139</v>
      </c>
      <c r="H26" t="str">
        <f>VLOOKUP(A:A,výpočty!$R$14:$S$15,2,FALSE)</f>
        <v>V</v>
      </c>
      <c r="I26" t="str">
        <f>VLOOKUP(B:B,výpočty!$R$9:$S$11,2,FALSE)</f>
        <v>X</v>
      </c>
      <c r="J26" t="str">
        <f>VLOOKUP(CHYBY!C:C,výpočty!$R$3:$S$7,2,FALSE)</f>
        <v>B</v>
      </c>
      <c r="K26">
        <f>VLOOKUP(D:D,výpočty!$W$3:$X$20,2,FALSE)</f>
        <v>9</v>
      </c>
      <c r="L26" t="str">
        <f t="shared" si="0"/>
        <v>VXB9</v>
      </c>
      <c r="M26" t="str">
        <f t="shared" si="1"/>
        <v/>
      </c>
      <c r="N26">
        <f t="shared" si="2"/>
        <v>0</v>
      </c>
    </row>
    <row r="27" spans="1:23" ht="13.8" x14ac:dyDescent="0.3">
      <c r="A27" s="255" t="str">
        <f>výpočty!$R$14</f>
        <v>Pionowy (z góry na dół)</v>
      </c>
      <c r="B27" s="256" t="str">
        <f>výpočty!$R$9</f>
        <v>Do tyłu</v>
      </c>
      <c r="C27" t="str">
        <f>výpočty!$R$4</f>
        <v>Classic - wpuszczany do zafrezowania</v>
      </c>
      <c r="D27" s="36" t="str">
        <f>výpočty!$W$12</f>
        <v>Calvados (E23)</v>
      </c>
      <c r="E27" t="s">
        <v>2129</v>
      </c>
      <c r="F27">
        <v>0</v>
      </c>
      <c r="G27" t="s">
        <v>2139</v>
      </c>
      <c r="H27" t="str">
        <f>VLOOKUP(A:A,výpočty!$R$14:$S$15,2,FALSE)</f>
        <v>V</v>
      </c>
      <c r="I27" t="str">
        <f>VLOOKUP(B:B,výpočty!$R$9:$S$11,2,FALSE)</f>
        <v>X</v>
      </c>
      <c r="J27" t="str">
        <f>VLOOKUP(CHYBY!C:C,výpočty!$R$3:$S$7,2,FALSE)</f>
        <v>B</v>
      </c>
      <c r="K27">
        <f>VLOOKUP(D:D,výpočty!$W$3:$X$20,2,FALSE)</f>
        <v>10</v>
      </c>
      <c r="L27" t="str">
        <f t="shared" si="0"/>
        <v>VXB10</v>
      </c>
      <c r="M27" t="str">
        <f t="shared" si="1"/>
        <v/>
      </c>
      <c r="N27">
        <f t="shared" si="2"/>
        <v>0</v>
      </c>
    </row>
    <row r="28" spans="1:23" ht="13.8" x14ac:dyDescent="0.3">
      <c r="A28" s="255" t="str">
        <f>výpočty!$R$14</f>
        <v>Pionowy (z góry na dół)</v>
      </c>
      <c r="B28" s="256" t="str">
        <f>výpočty!$R$9</f>
        <v>Do tyłu</v>
      </c>
      <c r="C28" t="str">
        <f>výpočty!$R$4</f>
        <v>Classic - wpuszczany do zafrezowania</v>
      </c>
      <c r="D28" s="350" t="str">
        <f>výpočty!$W$14</f>
        <v>śnieżno biala mat (E9)</v>
      </c>
      <c r="E28" t="s">
        <v>2129</v>
      </c>
      <c r="F28">
        <v>0</v>
      </c>
      <c r="G28" t="s">
        <v>2139</v>
      </c>
      <c r="H28" t="str">
        <f>VLOOKUP(A:A,výpočty!$R$14:$S$15,2,FALSE)</f>
        <v>V</v>
      </c>
      <c r="I28" t="str">
        <f>VLOOKUP(B:B,výpočty!$R$9:$S$11,2,FALSE)</f>
        <v>X</v>
      </c>
      <c r="J28" t="str">
        <f>VLOOKUP(CHYBY!C:C,výpočty!$R$3:$S$7,2,FALSE)</f>
        <v>B</v>
      </c>
      <c r="K28">
        <f>VLOOKUP(D:D,výpočty!$W$3:$X$20,2,FALSE)</f>
        <v>12</v>
      </c>
      <c r="L28" t="str">
        <f t="shared" si="0"/>
        <v>VXB12</v>
      </c>
      <c r="M28" t="str">
        <f t="shared" si="1"/>
        <v/>
      </c>
      <c r="N28">
        <f t="shared" si="2"/>
        <v>0</v>
      </c>
    </row>
    <row r="29" spans="1:23" ht="13.8" x14ac:dyDescent="0.3">
      <c r="A29" s="255" t="str">
        <f>výpočty!$R$14</f>
        <v>Pionowy (z góry na dół)</v>
      </c>
      <c r="B29" s="256" t="str">
        <f>výpočty!$R$9</f>
        <v>Do tyłu</v>
      </c>
      <c r="C29" t="str">
        <f>výpočty!$R$4</f>
        <v>Classic - wpuszczany do zafrezowania</v>
      </c>
      <c r="D29" s="36" t="str">
        <f>výpočty!$W$15</f>
        <v>Aluminowa plastik (E4)</v>
      </c>
      <c r="E29" s="321" t="s">
        <v>2130</v>
      </c>
      <c r="F29" s="321">
        <v>0</v>
      </c>
      <c r="G29" s="321" t="str">
        <f>Překlady!$A$143</f>
        <v>Kolor aluminium plastik w profilu E4 jest idealny do poziomych rozwiązań w kombinacji z prowadzeniem Classic z systemem nawijania do tyłu</v>
      </c>
      <c r="H29" t="str">
        <f>VLOOKUP(A:A,výpočty!$R$14:$S$15,2,FALSE)</f>
        <v>V</v>
      </c>
      <c r="I29" t="str">
        <f>VLOOKUP(B:B,výpočty!$R$9:$S$11,2,FALSE)</f>
        <v>X</v>
      </c>
      <c r="J29" t="str">
        <f>VLOOKUP(CHYBY!C:C,výpočty!$R$3:$S$7,2,FALSE)</f>
        <v>B</v>
      </c>
      <c r="K29">
        <f>VLOOKUP(D:D,výpočty!$W$3:$X$20,2,FALSE)</f>
        <v>13</v>
      </c>
      <c r="L29" t="str">
        <f t="shared" si="0"/>
        <v>VXB13</v>
      </c>
      <c r="M29" t="str">
        <f t="shared" si="1"/>
        <v>Kolor aluminium plastik w profilu E4 jest idealny do poziomych rozwiązań w kombinacji z prowadzeniem Classic z systemem nawijania do tyłu</v>
      </c>
      <c r="N29">
        <f t="shared" si="2"/>
        <v>0</v>
      </c>
    </row>
    <row r="30" spans="1:23" ht="13.8" x14ac:dyDescent="0.3">
      <c r="A30" s="255" t="str">
        <f>výpočty!$R$14</f>
        <v>Pionowy (z góry na dół)</v>
      </c>
      <c r="B30" s="256" t="str">
        <f>výpočty!$R$9</f>
        <v>Do tyłu</v>
      </c>
      <c r="C30" t="str">
        <f>výpočty!$R$4</f>
        <v>Classic - wpuszczany do zafrezowania</v>
      </c>
      <c r="D30" s="36">
        <f>výpočty!$W$17</f>
        <v>0</v>
      </c>
      <c r="E30" s="321" t="s">
        <v>2129</v>
      </c>
      <c r="F30">
        <v>0</v>
      </c>
      <c r="G30" t="s">
        <v>2139</v>
      </c>
      <c r="H30" t="str">
        <f>VLOOKUP(A:A,výpočty!$R$14:$S$15,2,FALSE)</f>
        <v>V</v>
      </c>
      <c r="I30" t="str">
        <f>VLOOKUP(B:B,výpočty!$R$9:$S$11,2,FALSE)</f>
        <v>X</v>
      </c>
      <c r="J30" t="str">
        <f>VLOOKUP(CHYBY!C:C,výpočty!$R$3:$S$7,2,FALSE)</f>
        <v>B</v>
      </c>
      <c r="K30" t="e">
        <f>VLOOKUP(D:D,výpočty!$W$3:$X$20,2,FALSE)</f>
        <v>#N/A</v>
      </c>
      <c r="L30" t="e">
        <f t="shared" si="0"/>
        <v>#N/A</v>
      </c>
      <c r="M30" t="str">
        <f t="shared" si="1"/>
        <v/>
      </c>
      <c r="N30">
        <f t="shared" si="2"/>
        <v>0</v>
      </c>
    </row>
    <row r="31" spans="1:23" ht="13.8" x14ac:dyDescent="0.3">
      <c r="A31" s="255" t="str">
        <f>výpočty!$R$14</f>
        <v>Pionowy (z góry na dół)</v>
      </c>
      <c r="B31" s="256" t="str">
        <f>výpočty!$R$9</f>
        <v>Do tyłu</v>
      </c>
      <c r="C31" t="str">
        <f>výpočty!$R$4</f>
        <v>Classic - wpuszczany do zafrezowania</v>
      </c>
      <c r="D31" s="36">
        <f>výpočty!$W$18</f>
        <v>0</v>
      </c>
      <c r="E31" s="321" t="s">
        <v>2129</v>
      </c>
      <c r="F31">
        <v>0</v>
      </c>
      <c r="G31" t="s">
        <v>2139</v>
      </c>
      <c r="H31" t="str">
        <f>VLOOKUP(A:A,výpočty!$R$14:$S$15,2,FALSE)</f>
        <v>V</v>
      </c>
      <c r="I31" t="str">
        <f>VLOOKUP(B:B,výpočty!$R$9:$S$11,2,FALSE)</f>
        <v>X</v>
      </c>
      <c r="J31" t="str">
        <f>VLOOKUP(CHYBY!C:C,výpočty!$R$3:$S$7,2,FALSE)</f>
        <v>B</v>
      </c>
      <c r="K31" t="e">
        <f>VLOOKUP(D:D,výpočty!$W$3:$X$20,2,FALSE)</f>
        <v>#N/A</v>
      </c>
      <c r="L31" t="e">
        <f t="shared" si="0"/>
        <v>#N/A</v>
      </c>
      <c r="M31" t="str">
        <f t="shared" si="1"/>
        <v/>
      </c>
      <c r="N31">
        <f t="shared" si="2"/>
        <v>0</v>
      </c>
    </row>
    <row r="32" spans="1:23" ht="13.8" x14ac:dyDescent="0.3">
      <c r="A32" s="255" t="str">
        <f>výpočty!$R$14</f>
        <v>Pionowy (z góry na dół)</v>
      </c>
      <c r="B32" s="256" t="str">
        <f>výpočty!$R$9</f>
        <v>Do tyłu</v>
      </c>
      <c r="C32" t="str">
        <f>výpočty!$R$4</f>
        <v>Classic - wpuszczany do zafrezowania</v>
      </c>
      <c r="D32" s="36" t="str">
        <f>výpočty!$W$19</f>
        <v>Aluminium szerokość 25 mm (metallic-line)</v>
      </c>
      <c r="E32" s="321" t="s">
        <v>2129</v>
      </c>
      <c r="F32">
        <v>0</v>
      </c>
      <c r="G32" t="s">
        <v>2139</v>
      </c>
      <c r="H32" t="str">
        <f>VLOOKUP(A:A,výpočty!$R$14:$S$15,2,FALSE)</f>
        <v>V</v>
      </c>
      <c r="I32" t="str">
        <f>VLOOKUP(B:B,výpočty!$R$9:$S$11,2,FALSE)</f>
        <v>X</v>
      </c>
      <c r="J32" t="str">
        <f>VLOOKUP(CHYBY!C:C,výpočty!$R$3:$S$7,2,FALSE)</f>
        <v>B</v>
      </c>
      <c r="K32">
        <f>VLOOKUP(D:D,výpočty!$W$3:$X$20,2,FALSE)</f>
        <v>17</v>
      </c>
      <c r="L32" t="str">
        <f t="shared" si="0"/>
        <v>VXB17</v>
      </c>
      <c r="M32" t="str">
        <f t="shared" si="1"/>
        <v/>
      </c>
      <c r="N32">
        <f t="shared" si="2"/>
        <v>0</v>
      </c>
    </row>
    <row r="33" spans="1:14" ht="14.4" thickBot="1" x14ac:dyDescent="0.35">
      <c r="A33" s="255" t="str">
        <f>výpočty!$R$14</f>
        <v>Pionowy (z góry na dół)</v>
      </c>
      <c r="B33" s="256" t="str">
        <f>výpočty!$R$9</f>
        <v>Do tyłu</v>
      </c>
      <c r="C33" t="str">
        <f>výpočty!$R$4</f>
        <v>Classic - wpuszczany do zafrezowania</v>
      </c>
      <c r="D33" s="27" t="str">
        <f>výpočty!$W$20</f>
        <v>Nierdz. szerokość 25 mm (metallic-line)</v>
      </c>
      <c r="E33" s="321" t="s">
        <v>2129</v>
      </c>
      <c r="F33">
        <v>0</v>
      </c>
      <c r="G33" t="s">
        <v>2139</v>
      </c>
      <c r="H33" t="str">
        <f>VLOOKUP(A:A,výpočty!$R$14:$S$15,2,FALSE)</f>
        <v>V</v>
      </c>
      <c r="I33" t="str">
        <f>VLOOKUP(B:B,výpočty!$R$9:$S$11,2,FALSE)</f>
        <v>X</v>
      </c>
      <c r="J33" t="str">
        <f>VLOOKUP(CHYBY!C:C,výpočty!$R$3:$S$7,2,FALSE)</f>
        <v>B</v>
      </c>
      <c r="K33">
        <f>VLOOKUP(D:D,výpočty!$W$3:$X$20,2,FALSE)</f>
        <v>18</v>
      </c>
      <c r="L33" t="str">
        <f t="shared" si="0"/>
        <v>VXB18</v>
      </c>
      <c r="M33" t="str">
        <f t="shared" si="1"/>
        <v/>
      </c>
      <c r="N33">
        <f t="shared" si="2"/>
        <v>0</v>
      </c>
    </row>
    <row r="34" spans="1:14" ht="13.8" x14ac:dyDescent="0.3">
      <c r="A34" s="255" t="str">
        <f>výpočty!$R$14</f>
        <v>Pionowy (z góry na dół)</v>
      </c>
      <c r="B34" s="256" t="str">
        <f>výpočty!$R$9</f>
        <v>Do tyłu</v>
      </c>
      <c r="C34" t="str">
        <f>výpočty!$R$5</f>
        <v>Frame - nakładany z listwą maskującą</v>
      </c>
      <c r="D34" s="26" t="str">
        <f>výpočty!$W$3</f>
        <v>Czarny (E23)</v>
      </c>
      <c r="E34" t="s">
        <v>2129</v>
      </c>
      <c r="F34">
        <v>0</v>
      </c>
      <c r="G34" t="s">
        <v>2139</v>
      </c>
      <c r="H34" t="str">
        <f>VLOOKUP(A:A,výpočty!$R$14:$S$15,2,FALSE)</f>
        <v>V</v>
      </c>
      <c r="I34" t="str">
        <f>VLOOKUP(B:B,výpočty!$R$9:$S$11,2,FALSE)</f>
        <v>X</v>
      </c>
      <c r="J34" t="str">
        <f>VLOOKUP(CHYBY!C:C,výpočty!$R$3:$S$7,2,FALSE)</f>
        <v>C</v>
      </c>
      <c r="K34">
        <f>VLOOKUP(D:D,výpočty!$W$3:$X$20,2,FALSE)</f>
        <v>1</v>
      </c>
      <c r="L34" t="str">
        <f t="shared" si="0"/>
        <v>VXC1</v>
      </c>
      <c r="M34" t="str">
        <f t="shared" si="1"/>
        <v/>
      </c>
      <c r="N34">
        <f t="shared" si="2"/>
        <v>0</v>
      </c>
    </row>
    <row r="35" spans="1:14" ht="13.8" x14ac:dyDescent="0.3">
      <c r="A35" s="255" t="str">
        <f>výpočty!$R$14</f>
        <v>Pionowy (z góry na dół)</v>
      </c>
      <c r="B35" s="256" t="str">
        <f>výpočty!$R$9</f>
        <v>Do tyłu</v>
      </c>
      <c r="C35" t="str">
        <f>výpočty!$R$5</f>
        <v>Frame - nakładany z listwą maskującą</v>
      </c>
      <c r="D35" s="36" t="str">
        <f>výpočty!$W$4</f>
        <v>Biały (E23)</v>
      </c>
      <c r="E35" t="s">
        <v>2129</v>
      </c>
      <c r="F35">
        <v>0</v>
      </c>
      <c r="G35" t="s">
        <v>2139</v>
      </c>
      <c r="H35" t="str">
        <f>VLOOKUP(A:A,výpočty!$R$14:$S$15,2,FALSE)</f>
        <v>V</v>
      </c>
      <c r="I35" t="str">
        <f>VLOOKUP(B:B,výpočty!$R$9:$S$11,2,FALSE)</f>
        <v>X</v>
      </c>
      <c r="J35" t="str">
        <f>VLOOKUP(CHYBY!C:C,výpočty!$R$3:$S$7,2,FALSE)</f>
        <v>C</v>
      </c>
      <c r="K35">
        <f>VLOOKUP(D:D,výpočty!$W$3:$X$20,2,FALSE)</f>
        <v>2</v>
      </c>
      <c r="L35" t="str">
        <f t="shared" si="0"/>
        <v>VXC2</v>
      </c>
      <c r="M35" t="str">
        <f t="shared" si="1"/>
        <v/>
      </c>
      <c r="N35">
        <f t="shared" si="2"/>
        <v>0</v>
      </c>
    </row>
    <row r="36" spans="1:14" ht="13.8" x14ac:dyDescent="0.3">
      <c r="A36" s="255" t="str">
        <f>výpočty!$R$14</f>
        <v>Pionowy (z góry na dół)</v>
      </c>
      <c r="B36" s="256" t="str">
        <f>výpočty!$R$9</f>
        <v>Do tyłu</v>
      </c>
      <c r="C36" t="str">
        <f>výpočty!$R$5</f>
        <v>Frame - nakładany z listwą maskującą</v>
      </c>
      <c r="D36" s="36" t="str">
        <f>výpočty!$W$5</f>
        <v>Szary (E23)</v>
      </c>
      <c r="E36" t="s">
        <v>2129</v>
      </c>
      <c r="F36">
        <v>0</v>
      </c>
      <c r="G36" t="s">
        <v>2139</v>
      </c>
      <c r="H36" t="str">
        <f>VLOOKUP(A:A,výpočty!$R$14:$S$15,2,FALSE)</f>
        <v>V</v>
      </c>
      <c r="I36" t="str">
        <f>VLOOKUP(B:B,výpočty!$R$9:$S$11,2,FALSE)</f>
        <v>X</v>
      </c>
      <c r="J36" t="str">
        <f>VLOOKUP(CHYBY!C:C,výpočty!$R$3:$S$7,2,FALSE)</f>
        <v>C</v>
      </c>
      <c r="K36">
        <f>VLOOKUP(D:D,výpočty!$W$3:$X$20,2,FALSE)</f>
        <v>3</v>
      </c>
      <c r="L36" t="str">
        <f t="shared" si="0"/>
        <v>VXC3</v>
      </c>
      <c r="M36" t="str">
        <f t="shared" si="1"/>
        <v/>
      </c>
      <c r="N36">
        <f t="shared" si="2"/>
        <v>0</v>
      </c>
    </row>
    <row r="37" spans="1:14" ht="13.8" x14ac:dyDescent="0.3">
      <c r="A37" s="255" t="str">
        <f>výpočty!$R$14</f>
        <v>Pionowy (z góry na dół)</v>
      </c>
      <c r="B37" s="256" t="str">
        <f>výpočty!$R$9</f>
        <v>Do tyłu</v>
      </c>
      <c r="C37" t="str">
        <f>výpočty!$R$5</f>
        <v>Frame - nakładany z listwą maskującą</v>
      </c>
      <c r="D37" s="36" t="str">
        <f>výpočty!$W$6</f>
        <v>Aluminowa plastik (E23)</v>
      </c>
      <c r="E37" t="s">
        <v>2129</v>
      </c>
      <c r="F37">
        <v>0</v>
      </c>
      <c r="G37" t="s">
        <v>2139</v>
      </c>
      <c r="H37" t="str">
        <f>VLOOKUP(A:A,výpočty!$R$14:$S$15,2,FALSE)</f>
        <v>V</v>
      </c>
      <c r="I37" t="str">
        <f>VLOOKUP(B:B,výpočty!$R$9:$S$11,2,FALSE)</f>
        <v>X</v>
      </c>
      <c r="J37" t="str">
        <f>VLOOKUP(CHYBY!C:C,výpočty!$R$3:$S$7,2,FALSE)</f>
        <v>C</v>
      </c>
      <c r="K37">
        <f>VLOOKUP(D:D,výpočty!$W$3:$X$20,2,FALSE)</f>
        <v>4</v>
      </c>
      <c r="L37" t="str">
        <f t="shared" si="0"/>
        <v>VXC4</v>
      </c>
      <c r="M37" t="str">
        <f t="shared" si="1"/>
        <v/>
      </c>
      <c r="N37">
        <f t="shared" si="2"/>
        <v>0</v>
      </c>
    </row>
    <row r="38" spans="1:14" ht="13.8" x14ac:dyDescent="0.3">
      <c r="A38" s="255" t="str">
        <f>výpočty!$R$14</f>
        <v>Pionowy (z góry na dół)</v>
      </c>
      <c r="B38" s="256" t="str">
        <f>výpočty!$R$9</f>
        <v>Do tyłu</v>
      </c>
      <c r="C38" t="str">
        <f>výpočty!$R$5</f>
        <v>Frame - nakładany z listwą maskującą</v>
      </c>
      <c r="D38" s="36" t="str">
        <f>výpočty!$W$7</f>
        <v>Buk (E23)</v>
      </c>
      <c r="E38" t="s">
        <v>2130</v>
      </c>
      <c r="F38">
        <v>1</v>
      </c>
      <c r="G38" s="321" t="str">
        <f>Překlady!$A$145</f>
        <v>Koloru BUK w profilu E23 nie da się łączyć z prowadzeniem FRAME.</v>
      </c>
      <c r="H38" t="str">
        <f>VLOOKUP(A:A,výpočty!$R$14:$S$15,2,FALSE)</f>
        <v>V</v>
      </c>
      <c r="I38" t="str">
        <f>VLOOKUP(B:B,výpočty!$R$9:$S$11,2,FALSE)</f>
        <v>X</v>
      </c>
      <c r="J38" t="str">
        <f>VLOOKUP(CHYBY!C:C,výpočty!$R$3:$S$7,2,FALSE)</f>
        <v>C</v>
      </c>
      <c r="K38">
        <f>VLOOKUP(D:D,výpočty!$W$3:$X$20,2,FALSE)</f>
        <v>5</v>
      </c>
      <c r="L38" t="str">
        <f t="shared" si="0"/>
        <v>VXC5</v>
      </c>
      <c r="M38" t="str">
        <f t="shared" si="1"/>
        <v>Koloru BUK w profilu E23 nie da się łączyć z prowadzeniem FRAME.</v>
      </c>
      <c r="N38">
        <f t="shared" si="2"/>
        <v>1</v>
      </c>
    </row>
    <row r="39" spans="1:14" ht="13.8" x14ac:dyDescent="0.3">
      <c r="A39" s="255" t="str">
        <f>výpočty!$R$14</f>
        <v>Pionowy (z góry na dół)</v>
      </c>
      <c r="B39" s="256" t="str">
        <f>výpočty!$R$9</f>
        <v>Do tyłu</v>
      </c>
      <c r="C39" t="str">
        <f>výpočty!$R$5</f>
        <v>Frame - nakładany z listwą maskującą</v>
      </c>
      <c r="D39" s="36" t="str">
        <f>výpočty!$W$8</f>
        <v>Czereśnia (E23)</v>
      </c>
      <c r="E39" t="s">
        <v>2129</v>
      </c>
      <c r="F39">
        <v>1</v>
      </c>
      <c r="G39" t="str">
        <f>Překlady!$A$176</f>
        <v>Koloru Czereśnia w profilu E23 nie da się łączyć z prowadzeniem FRAME.</v>
      </c>
      <c r="H39" t="str">
        <f>VLOOKUP(A:A,výpočty!$R$14:$S$15,2,FALSE)</f>
        <v>V</v>
      </c>
      <c r="I39" t="str">
        <f>VLOOKUP(B:B,výpočty!$R$9:$S$11,2,FALSE)</f>
        <v>X</v>
      </c>
      <c r="J39" t="str">
        <f>VLOOKUP(CHYBY!C:C,výpočty!$R$3:$S$7,2,FALSE)</f>
        <v>C</v>
      </c>
      <c r="K39">
        <f>VLOOKUP(D:D,výpočty!$W$3:$X$20,2,FALSE)</f>
        <v>6</v>
      </c>
      <c r="L39" t="str">
        <f t="shared" si="0"/>
        <v>VXC6</v>
      </c>
      <c r="M39" t="str">
        <f t="shared" si="1"/>
        <v>Koloru Czereśnia w profilu E23 nie da się łączyć z prowadzeniem FRAME.</v>
      </c>
      <c r="N39">
        <f t="shared" si="2"/>
        <v>1</v>
      </c>
    </row>
    <row r="40" spans="1:14" ht="13.8" x14ac:dyDescent="0.3">
      <c r="A40" s="255" t="str">
        <f>výpočty!$R$14</f>
        <v>Pionowy (z góry na dół)</v>
      </c>
      <c r="B40" s="256" t="str">
        <f>výpočty!$R$9</f>
        <v>Do tyłu</v>
      </c>
      <c r="C40" t="str">
        <f>výpočty!$R$5</f>
        <v>Frame - nakładany z listwą maskującą</v>
      </c>
      <c r="D40" s="36" t="str">
        <f>výpočty!$W$9</f>
        <v>Klon (E23)</v>
      </c>
      <c r="E40" t="s">
        <v>2129</v>
      </c>
      <c r="F40">
        <v>1</v>
      </c>
      <c r="G40" t="str">
        <f>Překlady!$A$177</f>
        <v>Koloru Klon w profilu E23 nie da się łączyć z prowadzeniem FRAME.</v>
      </c>
      <c r="H40" t="str">
        <f>VLOOKUP(A:A,výpočty!$R$14:$S$15,2,FALSE)</f>
        <v>V</v>
      </c>
      <c r="I40" t="str">
        <f>VLOOKUP(B:B,výpočty!$R$9:$S$11,2,FALSE)</f>
        <v>X</v>
      </c>
      <c r="J40" t="str">
        <f>VLOOKUP(CHYBY!C:C,výpočty!$R$3:$S$7,2,FALSE)</f>
        <v>C</v>
      </c>
      <c r="K40">
        <f>VLOOKUP(D:D,výpočty!$W$3:$X$20,2,FALSE)</f>
        <v>7</v>
      </c>
      <c r="L40" t="str">
        <f t="shared" si="0"/>
        <v>VXC7</v>
      </c>
      <c r="M40" t="str">
        <f t="shared" si="1"/>
        <v>Koloru Klon w profilu E23 nie da się łączyć z prowadzeniem FRAME.</v>
      </c>
      <c r="N40">
        <f t="shared" si="2"/>
        <v>1</v>
      </c>
    </row>
    <row r="41" spans="1:14" ht="13.8" x14ac:dyDescent="0.3">
      <c r="A41" s="255" t="str">
        <f>výpočty!$R$14</f>
        <v>Pionowy (z góry na dół)</v>
      </c>
      <c r="B41" s="256" t="str">
        <f>výpočty!$R$9</f>
        <v>Do tyłu</v>
      </c>
      <c r="C41" t="str">
        <f>výpočty!$R$5</f>
        <v>Frame - nakładany z listwą maskującą</v>
      </c>
      <c r="D41" s="36" t="str">
        <f>výpočty!$W$10</f>
        <v>Brzoza (E23)</v>
      </c>
      <c r="E41" t="s">
        <v>2129</v>
      </c>
      <c r="F41">
        <v>1</v>
      </c>
      <c r="G41" t="str">
        <f>Překlady!$A$175</f>
        <v>Koloru Brzoza w profilu E23 nie da się łączyć z prowadzeniem FRAME.</v>
      </c>
      <c r="H41" t="str">
        <f>VLOOKUP(A:A,výpočty!$R$14:$S$15,2,FALSE)</f>
        <v>V</v>
      </c>
      <c r="I41" t="str">
        <f>VLOOKUP(B:B,výpočty!$R$9:$S$11,2,FALSE)</f>
        <v>X</v>
      </c>
      <c r="J41" t="str">
        <f>VLOOKUP(CHYBY!C:C,výpočty!$R$3:$S$7,2,FALSE)</f>
        <v>C</v>
      </c>
      <c r="K41">
        <f>VLOOKUP(D:D,výpočty!$W$3:$X$20,2,FALSE)</f>
        <v>8</v>
      </c>
      <c r="L41" t="str">
        <f t="shared" si="0"/>
        <v>VXC8</v>
      </c>
      <c r="M41" t="str">
        <f t="shared" si="1"/>
        <v>Koloru Brzoza w profilu E23 nie da się łączyć z prowadzeniem FRAME.</v>
      </c>
      <c r="N41">
        <f t="shared" si="2"/>
        <v>1</v>
      </c>
    </row>
    <row r="42" spans="1:14" ht="13.8" x14ac:dyDescent="0.3">
      <c r="A42" s="255" t="str">
        <f>výpočty!$R$14</f>
        <v>Pionowy (z góry na dół)</v>
      </c>
      <c r="B42" s="256" t="str">
        <f>výpočty!$R$9</f>
        <v>Do tyłu</v>
      </c>
      <c r="C42" t="str">
        <f>výpočty!$R$5</f>
        <v>Frame - nakładany z listwą maskującą</v>
      </c>
      <c r="D42" s="36" t="str">
        <f>výpočty!$W$11</f>
        <v>Czereśnia havana (E23)</v>
      </c>
      <c r="E42" t="s">
        <v>2130</v>
      </c>
      <c r="F42">
        <v>1</v>
      </c>
      <c r="G42" t="str">
        <f>Překlady!$A$170</f>
        <v>Koloru Czereśnia havana w profilu E23 nie da się łączyć z prowadzeniem FRAME.</v>
      </c>
      <c r="H42" t="str">
        <f>VLOOKUP(A:A,výpočty!$R$14:$S$15,2,FALSE)</f>
        <v>V</v>
      </c>
      <c r="I42" t="str">
        <f>VLOOKUP(B:B,výpočty!$R$9:$S$11,2,FALSE)</f>
        <v>X</v>
      </c>
      <c r="J42" t="str">
        <f>VLOOKUP(CHYBY!C:C,výpočty!$R$3:$S$7,2,FALSE)</f>
        <v>C</v>
      </c>
      <c r="K42">
        <f>VLOOKUP(D:D,výpočty!$W$3:$X$20,2,FALSE)</f>
        <v>9</v>
      </c>
      <c r="L42" t="str">
        <f t="shared" si="0"/>
        <v>VXC9</v>
      </c>
      <c r="M42" t="str">
        <f t="shared" si="1"/>
        <v>Koloru Czereśnia havana w profilu E23 nie da się łączyć z prowadzeniem FRAME.</v>
      </c>
      <c r="N42">
        <f t="shared" si="2"/>
        <v>1</v>
      </c>
    </row>
    <row r="43" spans="1:14" ht="13.8" x14ac:dyDescent="0.3">
      <c r="A43" s="255" t="str">
        <f>výpočty!$R$14</f>
        <v>Pionowy (z góry na dół)</v>
      </c>
      <c r="B43" s="256" t="str">
        <f>výpočty!$R$9</f>
        <v>Do tyłu</v>
      </c>
      <c r="C43" t="str">
        <f>výpočty!$R$5</f>
        <v>Frame - nakładany z listwą maskującą</v>
      </c>
      <c r="D43" s="36" t="str">
        <f>výpočty!$W$12</f>
        <v>Calvados (E23)</v>
      </c>
      <c r="E43" s="321" t="s">
        <v>2130</v>
      </c>
      <c r="F43">
        <v>1</v>
      </c>
      <c r="G43" t="str">
        <f>Překlady!$A$169</f>
        <v>Koloru CALVADOS w profilu E23 nie da się łączyć z prowadzeniem FRAME.</v>
      </c>
      <c r="H43" t="str">
        <f>VLOOKUP(A:A,výpočty!$R$14:$S$15,2,FALSE)</f>
        <v>V</v>
      </c>
      <c r="I43" t="str">
        <f>VLOOKUP(B:B,výpočty!$R$9:$S$11,2,FALSE)</f>
        <v>X</v>
      </c>
      <c r="J43" t="str">
        <f>VLOOKUP(CHYBY!C:C,výpočty!$R$3:$S$7,2,FALSE)</f>
        <v>C</v>
      </c>
      <c r="K43">
        <f>VLOOKUP(D:D,výpočty!$W$3:$X$20,2,FALSE)</f>
        <v>10</v>
      </c>
      <c r="L43" t="str">
        <f t="shared" si="0"/>
        <v>VXC10</v>
      </c>
      <c r="M43" t="str">
        <f t="shared" si="1"/>
        <v>Koloru CALVADOS w profilu E23 nie da się łączyć z prowadzeniem FRAME.</v>
      </c>
      <c r="N43">
        <f t="shared" si="2"/>
        <v>1</v>
      </c>
    </row>
    <row r="44" spans="1:14" ht="13.8" x14ac:dyDescent="0.3">
      <c r="A44" s="255" t="str">
        <f>výpočty!$R$14</f>
        <v>Pionowy (z góry na dół)</v>
      </c>
      <c r="B44" s="256" t="str">
        <f>výpočty!$R$9</f>
        <v>Do tyłu</v>
      </c>
      <c r="C44" t="str">
        <f>výpočty!$R$5</f>
        <v>Frame - nakładany z listwą maskującą</v>
      </c>
      <c r="D44" s="36" t="str">
        <f>výpočty!$W$14</f>
        <v>śnieżno biala mat (E9)</v>
      </c>
      <c r="E44" s="321" t="s">
        <v>2130</v>
      </c>
      <c r="F44" s="321">
        <v>1</v>
      </c>
      <c r="G44" s="321" t="str">
        <f>Překlady!$A$142</f>
        <v>Kolor śnieżno biały w profilu E9 można łączyć jedynie z prowadzeniem Classic i systemem nawijania do tyłu</v>
      </c>
      <c r="H44" t="str">
        <f>VLOOKUP(A:A,výpočty!$R$14:$S$15,2,FALSE)</f>
        <v>V</v>
      </c>
      <c r="I44" t="str">
        <f>VLOOKUP(B:B,výpočty!$R$9:$S$11,2,FALSE)</f>
        <v>X</v>
      </c>
      <c r="J44" t="str">
        <f>VLOOKUP(CHYBY!C:C,výpočty!$R$3:$S$7,2,FALSE)</f>
        <v>C</v>
      </c>
      <c r="K44">
        <f>VLOOKUP(D:D,výpočty!$W$3:$X$20,2,FALSE)</f>
        <v>12</v>
      </c>
      <c r="L44" t="str">
        <f t="shared" si="0"/>
        <v>VXC12</v>
      </c>
      <c r="M44" t="str">
        <f t="shared" si="1"/>
        <v>Kolor śnieżno biały w profilu E9 można łączyć jedynie z prowadzeniem Classic i systemem nawijania do tyłu</v>
      </c>
      <c r="N44">
        <f t="shared" si="2"/>
        <v>1</v>
      </c>
    </row>
    <row r="45" spans="1:14" ht="13.8" x14ac:dyDescent="0.3">
      <c r="A45" s="255" t="str">
        <f>výpočty!$R$14</f>
        <v>Pionowy (z góry na dół)</v>
      </c>
      <c r="B45" s="256" t="str">
        <f>výpočty!$R$9</f>
        <v>Do tyłu</v>
      </c>
      <c r="C45" t="str">
        <f>výpočty!$R$5</f>
        <v>Frame - nakładany z listwą maskującą</v>
      </c>
      <c r="D45" s="36" t="str">
        <f>výpočty!$W$15</f>
        <v>Aluminowa plastik (E4)</v>
      </c>
      <c r="E45" t="s">
        <v>2130</v>
      </c>
      <c r="F45">
        <v>1</v>
      </c>
      <c r="G45" s="321" t="str">
        <f>Překlady!$A$143</f>
        <v>Kolor aluminium plastik w profilu E4 jest idealny do poziomych rozwiązań w kombinacji z prowadzeniem Classic z systemem nawijania do tyłu</v>
      </c>
      <c r="H45" t="str">
        <f>VLOOKUP(A:A,výpočty!$R$14:$S$15,2,FALSE)</f>
        <v>V</v>
      </c>
      <c r="I45" t="str">
        <f>VLOOKUP(B:B,výpočty!$R$9:$S$11,2,FALSE)</f>
        <v>X</v>
      </c>
      <c r="J45" t="str">
        <f>VLOOKUP(CHYBY!C:C,výpočty!$R$3:$S$7,2,FALSE)</f>
        <v>C</v>
      </c>
      <c r="K45">
        <f>VLOOKUP(D:D,výpočty!$W$3:$X$20,2,FALSE)</f>
        <v>13</v>
      </c>
      <c r="L45" t="str">
        <f t="shared" si="0"/>
        <v>VXC13</v>
      </c>
      <c r="M45" t="str">
        <f t="shared" si="1"/>
        <v>Kolor aluminium plastik w profilu E4 jest idealny do poziomych rozwiązań w kombinacji z prowadzeniem Classic z systemem nawijania do tyłu</v>
      </c>
      <c r="N45">
        <f t="shared" si="2"/>
        <v>1</v>
      </c>
    </row>
    <row r="46" spans="1:14" ht="13.8" x14ac:dyDescent="0.3">
      <c r="A46" s="255" t="str">
        <f>výpočty!$R$14</f>
        <v>Pionowy (z góry na dół)</v>
      </c>
      <c r="B46" s="256" t="str">
        <f>výpočty!$R$9</f>
        <v>Do tyłu</v>
      </c>
      <c r="C46" t="str">
        <f>výpočty!$R$5</f>
        <v>Frame - nakładany z listwą maskującą</v>
      </c>
      <c r="D46" s="36">
        <f>výpočty!$W$17</f>
        <v>0</v>
      </c>
      <c r="E46" t="s">
        <v>2129</v>
      </c>
      <c r="F46">
        <v>0</v>
      </c>
      <c r="G46" t="s">
        <v>2139</v>
      </c>
      <c r="H46" t="str">
        <f>VLOOKUP(A:A,výpočty!$R$14:$S$15,2,FALSE)</f>
        <v>V</v>
      </c>
      <c r="I46" t="str">
        <f>VLOOKUP(B:B,výpočty!$R$9:$S$11,2,FALSE)</f>
        <v>X</v>
      </c>
      <c r="J46" t="str">
        <f>VLOOKUP(CHYBY!C:C,výpočty!$R$3:$S$7,2,FALSE)</f>
        <v>C</v>
      </c>
      <c r="K46" t="e">
        <f>VLOOKUP(D:D,výpočty!$W$3:$X$20,2,FALSE)</f>
        <v>#N/A</v>
      </c>
      <c r="L46" t="e">
        <f t="shared" si="0"/>
        <v>#N/A</v>
      </c>
      <c r="M46" t="str">
        <f t="shared" si="1"/>
        <v/>
      </c>
      <c r="N46">
        <f t="shared" si="2"/>
        <v>0</v>
      </c>
    </row>
    <row r="47" spans="1:14" ht="13.8" x14ac:dyDescent="0.3">
      <c r="A47" s="255" t="str">
        <f>výpočty!$R$14</f>
        <v>Pionowy (z góry na dół)</v>
      </c>
      <c r="B47" s="256" t="str">
        <f>výpočty!$R$9</f>
        <v>Do tyłu</v>
      </c>
      <c r="C47" t="str">
        <f>výpočty!$R$5</f>
        <v>Frame - nakładany z listwą maskującą</v>
      </c>
      <c r="D47" s="36">
        <f>výpočty!$W$18</f>
        <v>0</v>
      </c>
      <c r="E47" t="s">
        <v>2129</v>
      </c>
      <c r="F47">
        <v>0</v>
      </c>
      <c r="G47" t="s">
        <v>2139</v>
      </c>
      <c r="H47" t="str">
        <f>VLOOKUP(A:A,výpočty!$R$14:$S$15,2,FALSE)</f>
        <v>V</v>
      </c>
      <c r="I47" t="str">
        <f>VLOOKUP(B:B,výpočty!$R$9:$S$11,2,FALSE)</f>
        <v>X</v>
      </c>
      <c r="J47" t="str">
        <f>VLOOKUP(CHYBY!C:C,výpočty!$R$3:$S$7,2,FALSE)</f>
        <v>C</v>
      </c>
      <c r="K47" t="e">
        <f>VLOOKUP(D:D,výpočty!$W$3:$X$20,2,FALSE)</f>
        <v>#N/A</v>
      </c>
      <c r="L47" t="e">
        <f t="shared" si="0"/>
        <v>#N/A</v>
      </c>
      <c r="M47" t="str">
        <f t="shared" si="1"/>
        <v/>
      </c>
      <c r="N47">
        <f t="shared" si="2"/>
        <v>0</v>
      </c>
    </row>
    <row r="48" spans="1:14" ht="13.8" x14ac:dyDescent="0.3">
      <c r="A48" s="255" t="str">
        <f>výpočty!$R$14</f>
        <v>Pionowy (z góry na dół)</v>
      </c>
      <c r="B48" s="256" t="str">
        <f>výpočty!$R$9</f>
        <v>Do tyłu</v>
      </c>
      <c r="C48" t="str">
        <f>výpočty!$R$5</f>
        <v>Frame - nakładany z listwą maskującą</v>
      </c>
      <c r="D48" s="36" t="str">
        <f>výpočty!$W$19</f>
        <v>Aluminium szerokość 25 mm (metallic-line)</v>
      </c>
      <c r="E48" t="s">
        <v>2129</v>
      </c>
      <c r="F48">
        <v>0</v>
      </c>
      <c r="G48" t="s">
        <v>2139</v>
      </c>
      <c r="H48" t="str">
        <f>VLOOKUP(A:A,výpočty!$R$14:$S$15,2,FALSE)</f>
        <v>V</v>
      </c>
      <c r="I48" t="str">
        <f>VLOOKUP(B:B,výpočty!$R$9:$S$11,2,FALSE)</f>
        <v>X</v>
      </c>
      <c r="J48" t="str">
        <f>VLOOKUP(CHYBY!C:C,výpočty!$R$3:$S$7,2,FALSE)</f>
        <v>C</v>
      </c>
      <c r="K48">
        <f>VLOOKUP(D:D,výpočty!$W$3:$X$20,2,FALSE)</f>
        <v>17</v>
      </c>
      <c r="L48" t="str">
        <f t="shared" si="0"/>
        <v>VXC17</v>
      </c>
      <c r="M48" t="str">
        <f t="shared" si="1"/>
        <v/>
      </c>
      <c r="N48">
        <f t="shared" si="2"/>
        <v>0</v>
      </c>
    </row>
    <row r="49" spans="1:14" ht="14.4" thickBot="1" x14ac:dyDescent="0.35">
      <c r="A49" s="255" t="str">
        <f>výpočty!$R$14</f>
        <v>Pionowy (z góry na dół)</v>
      </c>
      <c r="B49" s="256" t="str">
        <f>výpočty!$R$9</f>
        <v>Do tyłu</v>
      </c>
      <c r="C49" t="str">
        <f>výpočty!$R$5</f>
        <v>Frame - nakładany z listwą maskującą</v>
      </c>
      <c r="D49" s="27" t="str">
        <f>výpočty!$W$20</f>
        <v>Nierdz. szerokość 25 mm (metallic-line)</v>
      </c>
      <c r="E49" t="s">
        <v>2129</v>
      </c>
      <c r="F49">
        <v>0</v>
      </c>
      <c r="G49" t="s">
        <v>2139</v>
      </c>
      <c r="H49" t="str">
        <f>VLOOKUP(A:A,výpočty!$R$14:$S$15,2,FALSE)</f>
        <v>V</v>
      </c>
      <c r="I49" t="str">
        <f>VLOOKUP(B:B,výpočty!$R$9:$S$11,2,FALSE)</f>
        <v>X</v>
      </c>
      <c r="J49" t="str">
        <f>VLOOKUP(CHYBY!C:C,výpočty!$R$3:$S$7,2,FALSE)</f>
        <v>C</v>
      </c>
      <c r="K49">
        <f>VLOOKUP(D:D,výpočty!$W$3:$X$20,2,FALSE)</f>
        <v>18</v>
      </c>
      <c r="L49" t="str">
        <f t="shared" si="0"/>
        <v>VXC18</v>
      </c>
      <c r="M49" t="str">
        <f t="shared" si="1"/>
        <v/>
      </c>
      <c r="N49">
        <f t="shared" si="2"/>
        <v>0</v>
      </c>
    </row>
    <row r="50" spans="1:14" ht="13.8" x14ac:dyDescent="0.3">
      <c r="A50" s="255" t="str">
        <f>výpočty!$R$14</f>
        <v>Pionowy (z góry na dół)</v>
      </c>
      <c r="B50" s="256" t="str">
        <f>výpočty!$R$9</f>
        <v>Do tyłu</v>
      </c>
      <c r="C50" t="str">
        <f>výpočty!$R$6</f>
        <v>TOP - wpuszczany do przykręcenia metalowy z listwą maskującą</v>
      </c>
      <c r="D50" s="26" t="str">
        <f>výpočty!$W$3</f>
        <v>Czarny (E23)</v>
      </c>
      <c r="E50" t="s">
        <v>2129</v>
      </c>
      <c r="F50">
        <v>0</v>
      </c>
      <c r="G50" t="s">
        <v>2139</v>
      </c>
      <c r="H50" t="str">
        <f>VLOOKUP(A:A,výpočty!$R$14:$S$15,2,FALSE)</f>
        <v>V</v>
      </c>
      <c r="I50" t="str">
        <f>VLOOKUP(B:B,výpočty!$R$9:$S$11,2,FALSE)</f>
        <v>X</v>
      </c>
      <c r="J50" t="str">
        <f>VLOOKUP(CHYBY!C:C,výpočty!$R$3:$S$7,2,FALSE)</f>
        <v>D</v>
      </c>
      <c r="K50">
        <f>VLOOKUP(D:D,výpočty!$W$3:$X$20,2,FALSE)</f>
        <v>1</v>
      </c>
      <c r="L50" t="str">
        <f t="shared" si="0"/>
        <v>VXD1</v>
      </c>
      <c r="M50" t="str">
        <f t="shared" si="1"/>
        <v/>
      </c>
      <c r="N50">
        <f t="shared" si="2"/>
        <v>0</v>
      </c>
    </row>
    <row r="51" spans="1:14" ht="13.8" x14ac:dyDescent="0.3">
      <c r="A51" s="255" t="str">
        <f>výpočty!$R$14</f>
        <v>Pionowy (z góry na dół)</v>
      </c>
      <c r="B51" s="256" t="str">
        <f>výpočty!$R$9</f>
        <v>Do tyłu</v>
      </c>
      <c r="C51" t="str">
        <f>výpočty!$R$6</f>
        <v>TOP - wpuszczany do przykręcenia metalowy z listwą maskującą</v>
      </c>
      <c r="D51" s="36" t="str">
        <f>výpočty!$W$4</f>
        <v>Biały (E23)</v>
      </c>
      <c r="E51" t="s">
        <v>2129</v>
      </c>
      <c r="F51">
        <v>0</v>
      </c>
      <c r="G51" t="s">
        <v>2139</v>
      </c>
      <c r="H51" t="str">
        <f>VLOOKUP(A:A,výpočty!$R$14:$S$15,2,FALSE)</f>
        <v>V</v>
      </c>
      <c r="I51" t="str">
        <f>VLOOKUP(B:B,výpočty!$R$9:$S$11,2,FALSE)</f>
        <v>X</v>
      </c>
      <c r="J51" t="str">
        <f>VLOOKUP(CHYBY!C:C,výpočty!$R$3:$S$7,2,FALSE)</f>
        <v>D</v>
      </c>
      <c r="K51">
        <f>VLOOKUP(D:D,výpočty!$W$3:$X$20,2,FALSE)</f>
        <v>2</v>
      </c>
      <c r="L51" t="str">
        <f t="shared" si="0"/>
        <v>VXD2</v>
      </c>
      <c r="M51" t="str">
        <f t="shared" si="1"/>
        <v/>
      </c>
      <c r="N51">
        <f t="shared" si="2"/>
        <v>0</v>
      </c>
    </row>
    <row r="52" spans="1:14" ht="13.8" x14ac:dyDescent="0.3">
      <c r="A52" s="255" t="str">
        <f>výpočty!$R$14</f>
        <v>Pionowy (z góry na dół)</v>
      </c>
      <c r="B52" s="256" t="str">
        <f>výpočty!$R$9</f>
        <v>Do tyłu</v>
      </c>
      <c r="C52" t="str">
        <f>výpočty!$R$6</f>
        <v>TOP - wpuszczany do przykręcenia metalowy z listwą maskującą</v>
      </c>
      <c r="D52" s="36" t="str">
        <f>výpočty!$W$5</f>
        <v>Szary (E23)</v>
      </c>
      <c r="E52" t="s">
        <v>2129</v>
      </c>
      <c r="F52">
        <v>0</v>
      </c>
      <c r="G52" t="s">
        <v>2139</v>
      </c>
      <c r="H52" t="str">
        <f>VLOOKUP(A:A,výpočty!$R$14:$S$15,2,FALSE)</f>
        <v>V</v>
      </c>
      <c r="I52" t="str">
        <f>VLOOKUP(B:B,výpočty!$R$9:$S$11,2,FALSE)</f>
        <v>X</v>
      </c>
      <c r="J52" t="str">
        <f>VLOOKUP(CHYBY!C:C,výpočty!$R$3:$S$7,2,FALSE)</f>
        <v>D</v>
      </c>
      <c r="K52">
        <f>VLOOKUP(D:D,výpočty!$W$3:$X$20,2,FALSE)</f>
        <v>3</v>
      </c>
      <c r="L52" t="str">
        <f t="shared" si="0"/>
        <v>VXD3</v>
      </c>
      <c r="M52" t="str">
        <f t="shared" si="1"/>
        <v/>
      </c>
      <c r="N52">
        <f t="shared" si="2"/>
        <v>0</v>
      </c>
    </row>
    <row r="53" spans="1:14" ht="13.8" x14ac:dyDescent="0.3">
      <c r="A53" s="255" t="str">
        <f>výpočty!$R$14</f>
        <v>Pionowy (z góry na dół)</v>
      </c>
      <c r="B53" s="256" t="str">
        <f>výpočty!$R$9</f>
        <v>Do tyłu</v>
      </c>
      <c r="C53" t="str">
        <f>výpočty!$R$6</f>
        <v>TOP - wpuszczany do przykręcenia metalowy z listwą maskującą</v>
      </c>
      <c r="D53" s="36" t="str">
        <f>výpočty!$W$6</f>
        <v>Aluminowa plastik (E23)</v>
      </c>
      <c r="E53" t="s">
        <v>2129</v>
      </c>
      <c r="F53">
        <v>0</v>
      </c>
      <c r="G53" t="s">
        <v>2139</v>
      </c>
      <c r="H53" t="str">
        <f>VLOOKUP(A:A,výpočty!$R$14:$S$15,2,FALSE)</f>
        <v>V</v>
      </c>
      <c r="I53" t="str">
        <f>VLOOKUP(B:B,výpočty!$R$9:$S$11,2,FALSE)</f>
        <v>X</v>
      </c>
      <c r="J53" t="str">
        <f>VLOOKUP(CHYBY!C:C,výpočty!$R$3:$S$7,2,FALSE)</f>
        <v>D</v>
      </c>
      <c r="K53">
        <f>VLOOKUP(D:D,výpočty!$W$3:$X$20,2,FALSE)</f>
        <v>4</v>
      </c>
      <c r="L53" t="str">
        <f t="shared" si="0"/>
        <v>VXD4</v>
      </c>
      <c r="M53" t="str">
        <f t="shared" si="1"/>
        <v/>
      </c>
      <c r="N53">
        <f t="shared" si="2"/>
        <v>0</v>
      </c>
    </row>
    <row r="54" spans="1:14" ht="13.8" x14ac:dyDescent="0.3">
      <c r="A54" s="255" t="str">
        <f>výpočty!$R$14</f>
        <v>Pionowy (z góry na dół)</v>
      </c>
      <c r="B54" s="256" t="str">
        <f>výpočty!$R$9</f>
        <v>Do tyłu</v>
      </c>
      <c r="C54" t="str">
        <f>výpočty!$R$6</f>
        <v>TOP - wpuszczany do przykręcenia metalowy z listwą maskującą</v>
      </c>
      <c r="D54" s="36" t="str">
        <f>výpočty!$W$7</f>
        <v>Buk (E23)</v>
      </c>
      <c r="E54" t="s">
        <v>2129</v>
      </c>
      <c r="F54">
        <v>0</v>
      </c>
      <c r="G54" t="s">
        <v>2139</v>
      </c>
      <c r="H54" t="str">
        <f>VLOOKUP(A:A,výpočty!$R$14:$S$15,2,FALSE)</f>
        <v>V</v>
      </c>
      <c r="I54" t="str">
        <f>VLOOKUP(B:B,výpočty!$R$9:$S$11,2,FALSE)</f>
        <v>X</v>
      </c>
      <c r="J54" t="str">
        <f>VLOOKUP(CHYBY!C:C,výpočty!$R$3:$S$7,2,FALSE)</f>
        <v>D</v>
      </c>
      <c r="K54">
        <f>VLOOKUP(D:D,výpočty!$W$3:$X$20,2,FALSE)</f>
        <v>5</v>
      </c>
      <c r="L54" t="str">
        <f t="shared" si="0"/>
        <v>VXD5</v>
      </c>
      <c r="M54" t="str">
        <f t="shared" si="1"/>
        <v/>
      </c>
      <c r="N54">
        <f t="shared" si="2"/>
        <v>0</v>
      </c>
    </row>
    <row r="55" spans="1:14" ht="13.8" x14ac:dyDescent="0.3">
      <c r="A55" s="255" t="str">
        <f>výpočty!$R$14</f>
        <v>Pionowy (z góry na dół)</v>
      </c>
      <c r="B55" s="256" t="str">
        <f>výpočty!$R$9</f>
        <v>Do tyłu</v>
      </c>
      <c r="C55" t="str">
        <f>výpočty!$R$6</f>
        <v>TOP - wpuszczany do przykręcenia metalowy z listwą maskującą</v>
      </c>
      <c r="D55" s="36" t="str">
        <f>výpočty!$W$8</f>
        <v>Czereśnia (E23)</v>
      </c>
      <c r="E55" t="s">
        <v>2129</v>
      </c>
      <c r="F55">
        <v>0</v>
      </c>
      <c r="G55" t="s">
        <v>2139</v>
      </c>
      <c r="H55" t="str">
        <f>VLOOKUP(A:A,výpočty!$R$14:$S$15,2,FALSE)</f>
        <v>V</v>
      </c>
      <c r="I55" t="str">
        <f>VLOOKUP(B:B,výpočty!$R$9:$S$11,2,FALSE)</f>
        <v>X</v>
      </c>
      <c r="J55" t="str">
        <f>VLOOKUP(CHYBY!C:C,výpočty!$R$3:$S$7,2,FALSE)</f>
        <v>D</v>
      </c>
      <c r="K55">
        <f>VLOOKUP(D:D,výpočty!$W$3:$X$20,2,FALSE)</f>
        <v>6</v>
      </c>
      <c r="L55" t="str">
        <f t="shared" si="0"/>
        <v>VXD6</v>
      </c>
      <c r="M55" t="str">
        <f t="shared" si="1"/>
        <v/>
      </c>
      <c r="N55">
        <f t="shared" si="2"/>
        <v>0</v>
      </c>
    </row>
    <row r="56" spans="1:14" ht="13.8" x14ac:dyDescent="0.3">
      <c r="A56" s="255" t="str">
        <f>výpočty!$R$14</f>
        <v>Pionowy (z góry na dół)</v>
      </c>
      <c r="B56" s="256" t="str">
        <f>výpočty!$R$9</f>
        <v>Do tyłu</v>
      </c>
      <c r="C56" t="str">
        <f>výpočty!$R$6</f>
        <v>TOP - wpuszczany do przykręcenia metalowy z listwą maskującą</v>
      </c>
      <c r="D56" s="36" t="str">
        <f>výpočty!$W$9</f>
        <v>Klon (E23)</v>
      </c>
      <c r="E56" t="s">
        <v>2129</v>
      </c>
      <c r="F56">
        <v>0</v>
      </c>
      <c r="G56" t="s">
        <v>2139</v>
      </c>
      <c r="H56" t="str">
        <f>VLOOKUP(A:A,výpočty!$R$14:$S$15,2,FALSE)</f>
        <v>V</v>
      </c>
      <c r="I56" t="str">
        <f>VLOOKUP(B:B,výpočty!$R$9:$S$11,2,FALSE)</f>
        <v>X</v>
      </c>
      <c r="J56" t="str">
        <f>VLOOKUP(CHYBY!C:C,výpočty!$R$3:$S$7,2,FALSE)</f>
        <v>D</v>
      </c>
      <c r="K56">
        <f>VLOOKUP(D:D,výpočty!$W$3:$X$20,2,FALSE)</f>
        <v>7</v>
      </c>
      <c r="L56" t="str">
        <f t="shared" si="0"/>
        <v>VXD7</v>
      </c>
      <c r="M56" t="str">
        <f t="shared" si="1"/>
        <v/>
      </c>
      <c r="N56">
        <f t="shared" si="2"/>
        <v>0</v>
      </c>
    </row>
    <row r="57" spans="1:14" ht="13.8" x14ac:dyDescent="0.3">
      <c r="A57" s="255" t="str">
        <f>výpočty!$R$14</f>
        <v>Pionowy (z góry na dół)</v>
      </c>
      <c r="B57" s="256" t="str">
        <f>výpočty!$R$9</f>
        <v>Do tyłu</v>
      </c>
      <c r="C57" t="str">
        <f>výpočty!$R$6</f>
        <v>TOP - wpuszczany do przykręcenia metalowy z listwą maskującą</v>
      </c>
      <c r="D57" s="36" t="str">
        <f>výpočty!$W$10</f>
        <v>Brzoza (E23)</v>
      </c>
      <c r="E57" t="s">
        <v>2129</v>
      </c>
      <c r="F57">
        <v>0</v>
      </c>
      <c r="G57" t="s">
        <v>2139</v>
      </c>
      <c r="H57" t="str">
        <f>VLOOKUP(A:A,výpočty!$R$14:$S$15,2,FALSE)</f>
        <v>V</v>
      </c>
      <c r="I57" t="str">
        <f>VLOOKUP(B:B,výpočty!$R$9:$S$11,2,FALSE)</f>
        <v>X</v>
      </c>
      <c r="J57" t="str">
        <f>VLOOKUP(CHYBY!C:C,výpočty!$R$3:$S$7,2,FALSE)</f>
        <v>D</v>
      </c>
      <c r="K57">
        <f>VLOOKUP(D:D,výpočty!$W$3:$X$20,2,FALSE)</f>
        <v>8</v>
      </c>
      <c r="L57" t="str">
        <f t="shared" si="0"/>
        <v>VXD8</v>
      </c>
      <c r="M57" t="str">
        <f t="shared" si="1"/>
        <v/>
      </c>
      <c r="N57">
        <f t="shared" si="2"/>
        <v>0</v>
      </c>
    </row>
    <row r="58" spans="1:14" ht="13.8" x14ac:dyDescent="0.3">
      <c r="A58" s="255" t="str">
        <f>výpočty!$R$14</f>
        <v>Pionowy (z góry na dół)</v>
      </c>
      <c r="B58" s="256" t="str">
        <f>výpočty!$R$9</f>
        <v>Do tyłu</v>
      </c>
      <c r="C58" t="str">
        <f>výpočty!$R$6</f>
        <v>TOP - wpuszczany do przykręcenia metalowy z listwą maskującą</v>
      </c>
      <c r="D58" s="36" t="str">
        <f>výpočty!$W$11</f>
        <v>Czereśnia havana (E23)</v>
      </c>
      <c r="E58" t="s">
        <v>2129</v>
      </c>
      <c r="F58">
        <v>0</v>
      </c>
      <c r="G58" t="s">
        <v>2139</v>
      </c>
      <c r="H58" t="str">
        <f>VLOOKUP(A:A,výpočty!$R$14:$S$15,2,FALSE)</f>
        <v>V</v>
      </c>
      <c r="I58" t="str">
        <f>VLOOKUP(B:B,výpočty!$R$9:$S$11,2,FALSE)</f>
        <v>X</v>
      </c>
      <c r="J58" t="str">
        <f>VLOOKUP(CHYBY!C:C,výpočty!$R$3:$S$7,2,FALSE)</f>
        <v>D</v>
      </c>
      <c r="K58">
        <f>VLOOKUP(D:D,výpočty!$W$3:$X$20,2,FALSE)</f>
        <v>9</v>
      </c>
      <c r="L58" t="str">
        <f t="shared" si="0"/>
        <v>VXD9</v>
      </c>
      <c r="M58" t="str">
        <f t="shared" si="1"/>
        <v/>
      </c>
      <c r="N58">
        <f t="shared" si="2"/>
        <v>0</v>
      </c>
    </row>
    <row r="59" spans="1:14" ht="13.8" x14ac:dyDescent="0.3">
      <c r="A59" s="255" t="str">
        <f>výpočty!$R$14</f>
        <v>Pionowy (z góry na dół)</v>
      </c>
      <c r="B59" s="256" t="str">
        <f>výpočty!$R$9</f>
        <v>Do tyłu</v>
      </c>
      <c r="C59" t="str">
        <f>výpočty!$R$6</f>
        <v>TOP - wpuszczany do przykręcenia metalowy z listwą maskującą</v>
      </c>
      <c r="D59" s="36" t="str">
        <f>výpočty!$W$12</f>
        <v>Calvados (E23)</v>
      </c>
      <c r="E59" t="s">
        <v>2129</v>
      </c>
      <c r="F59">
        <v>0</v>
      </c>
      <c r="G59" t="s">
        <v>2139</v>
      </c>
      <c r="H59" t="str">
        <f>VLOOKUP(A:A,výpočty!$R$14:$S$15,2,FALSE)</f>
        <v>V</v>
      </c>
      <c r="I59" t="str">
        <f>VLOOKUP(B:B,výpočty!$R$9:$S$11,2,FALSE)</f>
        <v>X</v>
      </c>
      <c r="J59" t="str">
        <f>VLOOKUP(CHYBY!C:C,výpočty!$R$3:$S$7,2,FALSE)</f>
        <v>D</v>
      </c>
      <c r="K59">
        <f>VLOOKUP(D:D,výpočty!$W$3:$X$20,2,FALSE)</f>
        <v>10</v>
      </c>
      <c r="L59" t="str">
        <f t="shared" si="0"/>
        <v>VXD10</v>
      </c>
      <c r="M59" t="str">
        <f t="shared" si="1"/>
        <v/>
      </c>
      <c r="N59">
        <f t="shared" si="2"/>
        <v>0</v>
      </c>
    </row>
    <row r="60" spans="1:14" ht="13.8" x14ac:dyDescent="0.3">
      <c r="A60" s="255" t="str">
        <f>výpočty!$R$14</f>
        <v>Pionowy (z góry na dół)</v>
      </c>
      <c r="B60" s="256" t="str">
        <f>výpočty!$R$9</f>
        <v>Do tyłu</v>
      </c>
      <c r="C60" t="str">
        <f>výpočty!$R$6</f>
        <v>TOP - wpuszczany do przykręcenia metalowy z listwą maskującą</v>
      </c>
      <c r="D60" s="350" t="str">
        <f>výpočty!$W$14</f>
        <v>śnieżno biala mat (E9)</v>
      </c>
      <c r="E60" t="s">
        <v>2129</v>
      </c>
      <c r="F60">
        <v>0</v>
      </c>
      <c r="G60" t="s">
        <v>2139</v>
      </c>
      <c r="H60" t="str">
        <f>VLOOKUP(A:A,výpočty!$R$14:$S$15,2,FALSE)</f>
        <v>V</v>
      </c>
      <c r="I60" t="str">
        <f>VLOOKUP(B:B,výpočty!$R$9:$S$11,2,FALSE)</f>
        <v>X</v>
      </c>
      <c r="J60" t="str">
        <f>VLOOKUP(CHYBY!C:C,výpočty!$R$3:$S$7,2,FALSE)</f>
        <v>D</v>
      </c>
      <c r="K60">
        <f>VLOOKUP(D:D,výpočty!$W$3:$X$20,2,FALSE)</f>
        <v>12</v>
      </c>
      <c r="L60" t="str">
        <f t="shared" si="0"/>
        <v>VXD12</v>
      </c>
      <c r="M60" t="str">
        <f t="shared" si="1"/>
        <v/>
      </c>
      <c r="N60">
        <f t="shared" si="2"/>
        <v>0</v>
      </c>
    </row>
    <row r="61" spans="1:14" ht="13.8" x14ac:dyDescent="0.3">
      <c r="A61" s="255" t="str">
        <f>výpočty!$R$14</f>
        <v>Pionowy (z góry na dół)</v>
      </c>
      <c r="B61" s="256" t="str">
        <f>výpočty!$R$9</f>
        <v>Do tyłu</v>
      </c>
      <c r="C61" t="str">
        <f>výpočty!$R$6</f>
        <v>TOP - wpuszczany do przykręcenia metalowy z listwą maskującą</v>
      </c>
      <c r="D61" s="36" t="str">
        <f>výpočty!$W$15</f>
        <v>Aluminowa plastik (E4)</v>
      </c>
      <c r="E61" t="s">
        <v>2130</v>
      </c>
      <c r="F61">
        <v>1</v>
      </c>
      <c r="G61" s="321" t="str">
        <f>Překlady!$A$143</f>
        <v>Kolor aluminium plastik w profilu E4 jest idealny do poziomych rozwiązań w kombinacji z prowadzeniem Classic z systemem nawijania do tyłu</v>
      </c>
      <c r="H61" t="str">
        <f>VLOOKUP(A:A,výpočty!$R$14:$S$15,2,FALSE)</f>
        <v>V</v>
      </c>
      <c r="I61" t="str">
        <f>VLOOKUP(B:B,výpočty!$R$9:$S$11,2,FALSE)</f>
        <v>X</v>
      </c>
      <c r="J61" t="str">
        <f>VLOOKUP(CHYBY!C:C,výpočty!$R$3:$S$7,2,FALSE)</f>
        <v>D</v>
      </c>
      <c r="K61">
        <f>VLOOKUP(D:D,výpočty!$W$3:$X$20,2,FALSE)</f>
        <v>13</v>
      </c>
      <c r="L61" t="str">
        <f t="shared" si="0"/>
        <v>VXD13</v>
      </c>
      <c r="M61" t="str">
        <f t="shared" si="1"/>
        <v>Kolor aluminium plastik w profilu E4 jest idealny do poziomych rozwiązań w kombinacji z prowadzeniem Classic z systemem nawijania do tyłu</v>
      </c>
      <c r="N61">
        <f t="shared" si="2"/>
        <v>1</v>
      </c>
    </row>
    <row r="62" spans="1:14" ht="13.8" x14ac:dyDescent="0.3">
      <c r="A62" s="255" t="str">
        <f>výpočty!$R$14</f>
        <v>Pionowy (z góry na dół)</v>
      </c>
      <c r="B62" s="256" t="str">
        <f>výpočty!$R$9</f>
        <v>Do tyłu</v>
      </c>
      <c r="C62" t="str">
        <f>výpočty!$R$6</f>
        <v>TOP - wpuszczany do przykręcenia metalowy z listwą maskującą</v>
      </c>
      <c r="D62" s="36">
        <f>výpočty!$W$17</f>
        <v>0</v>
      </c>
      <c r="E62" t="s">
        <v>2129</v>
      </c>
      <c r="F62">
        <v>0</v>
      </c>
      <c r="G62" t="s">
        <v>2139</v>
      </c>
      <c r="H62" t="str">
        <f>VLOOKUP(A:A,výpočty!$R$14:$S$15,2,FALSE)</f>
        <v>V</v>
      </c>
      <c r="I62" t="str">
        <f>VLOOKUP(B:B,výpočty!$R$9:$S$11,2,FALSE)</f>
        <v>X</v>
      </c>
      <c r="J62" t="str">
        <f>VLOOKUP(CHYBY!C:C,výpočty!$R$3:$S$7,2,FALSE)</f>
        <v>D</v>
      </c>
      <c r="K62" t="e">
        <f>VLOOKUP(D:D,výpočty!$W$3:$X$20,2,FALSE)</f>
        <v>#N/A</v>
      </c>
      <c r="L62" t="e">
        <f t="shared" si="0"/>
        <v>#N/A</v>
      </c>
      <c r="M62" t="str">
        <f t="shared" si="1"/>
        <v/>
      </c>
      <c r="N62">
        <f t="shared" si="2"/>
        <v>0</v>
      </c>
    </row>
    <row r="63" spans="1:14" ht="13.8" x14ac:dyDescent="0.3">
      <c r="A63" s="255" t="str">
        <f>výpočty!$R$14</f>
        <v>Pionowy (z góry na dół)</v>
      </c>
      <c r="B63" s="256" t="str">
        <f>výpočty!$R$9</f>
        <v>Do tyłu</v>
      </c>
      <c r="C63" t="str">
        <f>výpočty!$R$6</f>
        <v>TOP - wpuszczany do przykręcenia metalowy z listwą maskującą</v>
      </c>
      <c r="D63" s="36">
        <f>výpočty!$W$18</f>
        <v>0</v>
      </c>
      <c r="E63" t="s">
        <v>2129</v>
      </c>
      <c r="F63">
        <v>0</v>
      </c>
      <c r="G63" t="s">
        <v>2139</v>
      </c>
      <c r="H63" t="str">
        <f>VLOOKUP(A:A,výpočty!$R$14:$S$15,2,FALSE)</f>
        <v>V</v>
      </c>
      <c r="I63" t="str">
        <f>VLOOKUP(B:B,výpočty!$R$9:$S$11,2,FALSE)</f>
        <v>X</v>
      </c>
      <c r="J63" t="str">
        <f>VLOOKUP(CHYBY!C:C,výpočty!$R$3:$S$7,2,FALSE)</f>
        <v>D</v>
      </c>
      <c r="K63" t="e">
        <f>VLOOKUP(D:D,výpočty!$W$3:$X$20,2,FALSE)</f>
        <v>#N/A</v>
      </c>
      <c r="L63" t="e">
        <f t="shared" si="0"/>
        <v>#N/A</v>
      </c>
      <c r="M63" t="str">
        <f t="shared" si="1"/>
        <v/>
      </c>
      <c r="N63">
        <f t="shared" si="2"/>
        <v>0</v>
      </c>
    </row>
    <row r="64" spans="1:14" ht="13.8" x14ac:dyDescent="0.3">
      <c r="A64" s="255" t="str">
        <f>výpočty!$R$14</f>
        <v>Pionowy (z góry na dół)</v>
      </c>
      <c r="B64" s="256" t="str">
        <f>výpočty!$R$9</f>
        <v>Do tyłu</v>
      </c>
      <c r="C64" t="str">
        <f>výpočty!$R$6</f>
        <v>TOP - wpuszczany do przykręcenia metalowy z listwą maskującą</v>
      </c>
      <c r="D64" s="36" t="str">
        <f>výpočty!$W$19</f>
        <v>Aluminium szerokość 25 mm (metallic-line)</v>
      </c>
      <c r="E64" t="s">
        <v>2129</v>
      </c>
      <c r="F64">
        <v>0</v>
      </c>
      <c r="G64" t="s">
        <v>2139</v>
      </c>
      <c r="H64" t="str">
        <f>VLOOKUP(A:A,výpočty!$R$14:$S$15,2,FALSE)</f>
        <v>V</v>
      </c>
      <c r="I64" t="str">
        <f>VLOOKUP(B:B,výpočty!$R$9:$S$11,2,FALSE)</f>
        <v>X</v>
      </c>
      <c r="J64" t="str">
        <f>VLOOKUP(CHYBY!C:C,výpočty!$R$3:$S$7,2,FALSE)</f>
        <v>D</v>
      </c>
      <c r="K64">
        <f>VLOOKUP(D:D,výpočty!$W$3:$X$20,2,FALSE)</f>
        <v>17</v>
      </c>
      <c r="L64" t="str">
        <f t="shared" si="0"/>
        <v>VXD17</v>
      </c>
      <c r="M64" t="str">
        <f t="shared" si="1"/>
        <v/>
      </c>
      <c r="N64">
        <f t="shared" si="2"/>
        <v>0</v>
      </c>
    </row>
    <row r="65" spans="1:14" ht="14.4" thickBot="1" x14ac:dyDescent="0.35">
      <c r="A65" s="255" t="str">
        <f>výpočty!$R$14</f>
        <v>Pionowy (z góry na dół)</v>
      </c>
      <c r="B65" s="256" t="str">
        <f>výpočty!$R$9</f>
        <v>Do tyłu</v>
      </c>
      <c r="C65" t="str">
        <f>výpočty!$R$6</f>
        <v>TOP - wpuszczany do przykręcenia metalowy z listwą maskującą</v>
      </c>
      <c r="D65" s="27" t="str">
        <f>výpočty!$W$20</f>
        <v>Nierdz. szerokość 25 mm (metallic-line)</v>
      </c>
      <c r="E65" t="s">
        <v>2129</v>
      </c>
      <c r="F65">
        <v>0</v>
      </c>
      <c r="G65" t="s">
        <v>2139</v>
      </c>
      <c r="H65" t="str">
        <f>VLOOKUP(A:A,výpočty!$R$14:$S$15,2,FALSE)</f>
        <v>V</v>
      </c>
      <c r="I65" t="str">
        <f>VLOOKUP(B:B,výpočty!$R$9:$S$11,2,FALSE)</f>
        <v>X</v>
      </c>
      <c r="J65" t="str">
        <f>VLOOKUP(CHYBY!C:C,výpočty!$R$3:$S$7,2,FALSE)</f>
        <v>D</v>
      </c>
      <c r="K65">
        <f>VLOOKUP(D:D,výpočty!$W$3:$X$20,2,FALSE)</f>
        <v>18</v>
      </c>
      <c r="L65" t="str">
        <f t="shared" si="0"/>
        <v>VXD18</v>
      </c>
      <c r="M65" t="str">
        <f t="shared" si="1"/>
        <v/>
      </c>
      <c r="N65">
        <f t="shared" si="2"/>
        <v>0</v>
      </c>
    </row>
    <row r="66" spans="1:14" ht="13.8" x14ac:dyDescent="0.3">
      <c r="A66" s="255" t="str">
        <f>výpočty!$R$14</f>
        <v>Pionowy (z góry na dół)</v>
      </c>
      <c r="B66" s="256" t="str">
        <f>výpočty!$R$9</f>
        <v>Do tyłu</v>
      </c>
      <c r="C66" t="str">
        <f>výpočty!$R$7</f>
        <v>Nakładany z prowadzeniem metalic-line 29 mm i mechanimem C3</v>
      </c>
      <c r="D66" s="26" t="str">
        <f>výpočty!$W$3</f>
        <v>Czarny (E23)</v>
      </c>
      <c r="E66" t="s">
        <v>2130</v>
      </c>
      <c r="F66">
        <v>1</v>
      </c>
      <c r="G66" s="321" t="str">
        <f>Překlady!$A$146</f>
        <v>Nakładany system prowadzenia z metalic-line 29 mm i mechanizmem C3 można łączyć jedynie z systemem nawijania przez mechanike C3</v>
      </c>
      <c r="H66" t="str">
        <f>VLOOKUP(A:A,výpočty!$R$14:$S$15,2,FALSE)</f>
        <v>V</v>
      </c>
      <c r="I66" t="str">
        <f>VLOOKUP(B:B,výpočty!$R$9:$S$11,2,FALSE)</f>
        <v>X</v>
      </c>
      <c r="J66" t="str">
        <f>VLOOKUP(CHYBY!C:C,výpočty!$R$3:$S$7,2,FALSE)</f>
        <v>E</v>
      </c>
      <c r="K66">
        <f>VLOOKUP(D:D,výpočty!$W$3:$X$20,2,FALSE)</f>
        <v>1</v>
      </c>
      <c r="L66" t="str">
        <f t="shared" si="0"/>
        <v>VXE1</v>
      </c>
      <c r="M66" t="str">
        <f t="shared" si="1"/>
        <v>Nakładany system prowadzenia z metalic-line 29 mm i mechanizmem C3 można łączyć jedynie z systemem nawijania przez mechanike C3</v>
      </c>
      <c r="N66">
        <f t="shared" si="2"/>
        <v>1</v>
      </c>
    </row>
    <row r="67" spans="1:14" ht="13.8" x14ac:dyDescent="0.3">
      <c r="A67" s="255" t="str">
        <f>výpočty!$R$14</f>
        <v>Pionowy (z góry na dół)</v>
      </c>
      <c r="B67" s="256" t="str">
        <f>výpočty!$R$9</f>
        <v>Do tyłu</v>
      </c>
      <c r="C67" t="str">
        <f>výpočty!$R$7</f>
        <v>Nakładany z prowadzeniem metalic-line 29 mm i mechanimem C3</v>
      </c>
      <c r="D67" s="36" t="str">
        <f>výpočty!$W$4</f>
        <v>Biały (E23)</v>
      </c>
      <c r="E67" t="s">
        <v>2130</v>
      </c>
      <c r="F67">
        <v>1</v>
      </c>
      <c r="G67" s="321" t="str">
        <f>Překlady!$A$146</f>
        <v>Nakładany system prowadzenia z metalic-line 29 mm i mechanizmem C3 można łączyć jedynie z systemem nawijania przez mechanike C3</v>
      </c>
      <c r="H67" t="str">
        <f>VLOOKUP(A:A,výpočty!$R$14:$S$15,2,FALSE)</f>
        <v>V</v>
      </c>
      <c r="I67" t="str">
        <f>VLOOKUP(B:B,výpočty!$R$9:$S$11,2,FALSE)</f>
        <v>X</v>
      </c>
      <c r="J67" t="str">
        <f>VLOOKUP(CHYBY!C:C,výpočty!$R$3:$S$7,2,FALSE)</f>
        <v>E</v>
      </c>
      <c r="K67">
        <f>VLOOKUP(D:D,výpočty!$W$3:$X$20,2,FALSE)</f>
        <v>2</v>
      </c>
      <c r="L67" t="str">
        <f t="shared" ref="L67:L130" si="3">TRIM(CONCATENATE(H67,I67,J67,K67))</f>
        <v>VXE2</v>
      </c>
      <c r="M67" t="str">
        <f t="shared" ref="M67:M130" si="4">IF(G:G="OK","",G:G)</f>
        <v>Nakładany system prowadzenia z metalic-line 29 mm i mechanizmem C3 można łączyć jedynie z systemem nawijania przez mechanike C3</v>
      </c>
      <c r="N67">
        <f t="shared" ref="N67:N130" si="5">F:F</f>
        <v>1</v>
      </c>
    </row>
    <row r="68" spans="1:14" ht="13.8" x14ac:dyDescent="0.3">
      <c r="A68" s="255" t="str">
        <f>výpočty!$R$14</f>
        <v>Pionowy (z góry na dół)</v>
      </c>
      <c r="B68" s="256" t="str">
        <f>výpočty!$R$9</f>
        <v>Do tyłu</v>
      </c>
      <c r="C68" t="str">
        <f>výpočty!$R$7</f>
        <v>Nakładany z prowadzeniem metalic-line 29 mm i mechanimem C3</v>
      </c>
      <c r="D68" s="36" t="str">
        <f>výpočty!$W$5</f>
        <v>Szary (E23)</v>
      </c>
      <c r="E68" t="s">
        <v>2130</v>
      </c>
      <c r="F68">
        <v>1</v>
      </c>
      <c r="G68" s="321" t="str">
        <f>Překlady!$A$146</f>
        <v>Nakładany system prowadzenia z metalic-line 29 mm i mechanizmem C3 można łączyć jedynie z systemem nawijania przez mechanike C3</v>
      </c>
      <c r="H68" t="str">
        <f>VLOOKUP(A:A,výpočty!$R$14:$S$15,2,FALSE)</f>
        <v>V</v>
      </c>
      <c r="I68" t="str">
        <f>VLOOKUP(B:B,výpočty!$R$9:$S$11,2,FALSE)</f>
        <v>X</v>
      </c>
      <c r="J68" t="str">
        <f>VLOOKUP(CHYBY!C:C,výpočty!$R$3:$S$7,2,FALSE)</f>
        <v>E</v>
      </c>
      <c r="K68">
        <f>VLOOKUP(D:D,výpočty!$W$3:$X$20,2,FALSE)</f>
        <v>3</v>
      </c>
      <c r="L68" t="str">
        <f t="shared" si="3"/>
        <v>VXE3</v>
      </c>
      <c r="M68" t="str">
        <f t="shared" si="4"/>
        <v>Nakładany system prowadzenia z metalic-line 29 mm i mechanizmem C3 można łączyć jedynie z systemem nawijania przez mechanike C3</v>
      </c>
      <c r="N68">
        <f t="shared" si="5"/>
        <v>1</v>
      </c>
    </row>
    <row r="69" spans="1:14" ht="13.8" x14ac:dyDescent="0.3">
      <c r="A69" s="255" t="str">
        <f>výpočty!$R$14</f>
        <v>Pionowy (z góry na dół)</v>
      </c>
      <c r="B69" s="256" t="str">
        <f>výpočty!$R$9</f>
        <v>Do tyłu</v>
      </c>
      <c r="C69" t="str">
        <f>výpočty!$R$7</f>
        <v>Nakładany z prowadzeniem metalic-line 29 mm i mechanimem C3</v>
      </c>
      <c r="D69" s="36" t="str">
        <f>výpočty!$W$6</f>
        <v>Aluminowa plastik (E23)</v>
      </c>
      <c r="E69" t="s">
        <v>2130</v>
      </c>
      <c r="F69">
        <v>1</v>
      </c>
      <c r="G69" s="321" t="str">
        <f>Překlady!$A$146</f>
        <v>Nakładany system prowadzenia z metalic-line 29 mm i mechanizmem C3 można łączyć jedynie z systemem nawijania przez mechanike C3</v>
      </c>
      <c r="H69" t="str">
        <f>VLOOKUP(A:A,výpočty!$R$14:$S$15,2,FALSE)</f>
        <v>V</v>
      </c>
      <c r="I69" t="str">
        <f>VLOOKUP(B:B,výpočty!$R$9:$S$11,2,FALSE)</f>
        <v>X</v>
      </c>
      <c r="J69" t="str">
        <f>VLOOKUP(CHYBY!C:C,výpočty!$R$3:$S$7,2,FALSE)</f>
        <v>E</v>
      </c>
      <c r="K69">
        <f>VLOOKUP(D:D,výpočty!$W$3:$X$20,2,FALSE)</f>
        <v>4</v>
      </c>
      <c r="L69" t="str">
        <f t="shared" si="3"/>
        <v>VXE4</v>
      </c>
      <c r="M69" t="str">
        <f t="shared" si="4"/>
        <v>Nakładany system prowadzenia z metalic-line 29 mm i mechanizmem C3 można łączyć jedynie z systemem nawijania przez mechanike C3</v>
      </c>
      <c r="N69">
        <f t="shared" si="5"/>
        <v>1</v>
      </c>
    </row>
    <row r="70" spans="1:14" ht="13.8" x14ac:dyDescent="0.3">
      <c r="A70" s="255" t="str">
        <f>výpočty!$R$14</f>
        <v>Pionowy (z góry na dół)</v>
      </c>
      <c r="B70" s="256" t="str">
        <f>výpočty!$R$9</f>
        <v>Do tyłu</v>
      </c>
      <c r="C70" t="str">
        <f>výpočty!$R$7</f>
        <v>Nakładany z prowadzeniem metalic-line 29 mm i mechanimem C3</v>
      </c>
      <c r="D70" s="36" t="str">
        <f>výpočty!$W$7</f>
        <v>Buk (E23)</v>
      </c>
      <c r="E70" t="s">
        <v>2130</v>
      </c>
      <c r="F70">
        <v>1</v>
      </c>
      <c r="G70" s="321" t="str">
        <f>Překlady!$A$146</f>
        <v>Nakładany system prowadzenia z metalic-line 29 mm i mechanizmem C3 można łączyć jedynie z systemem nawijania przez mechanike C3</v>
      </c>
      <c r="H70" t="str">
        <f>VLOOKUP(A:A,výpočty!$R$14:$S$15,2,FALSE)</f>
        <v>V</v>
      </c>
      <c r="I70" t="str">
        <f>VLOOKUP(B:B,výpočty!$R$9:$S$11,2,FALSE)</f>
        <v>X</v>
      </c>
      <c r="J70" t="str">
        <f>VLOOKUP(CHYBY!C:C,výpočty!$R$3:$S$7,2,FALSE)</f>
        <v>E</v>
      </c>
      <c r="K70">
        <f>VLOOKUP(D:D,výpočty!$W$3:$X$20,2,FALSE)</f>
        <v>5</v>
      </c>
      <c r="L70" t="str">
        <f t="shared" si="3"/>
        <v>VXE5</v>
      </c>
      <c r="M70" t="str">
        <f t="shared" si="4"/>
        <v>Nakładany system prowadzenia z metalic-line 29 mm i mechanizmem C3 można łączyć jedynie z systemem nawijania przez mechanike C3</v>
      </c>
      <c r="N70">
        <f t="shared" si="5"/>
        <v>1</v>
      </c>
    </row>
    <row r="71" spans="1:14" ht="13.8" x14ac:dyDescent="0.3">
      <c r="A71" s="255" t="str">
        <f>výpočty!$R$14</f>
        <v>Pionowy (z góry na dół)</v>
      </c>
      <c r="B71" s="256" t="str">
        <f>výpočty!$R$9</f>
        <v>Do tyłu</v>
      </c>
      <c r="C71" t="str">
        <f>výpočty!$R$7</f>
        <v>Nakładany z prowadzeniem metalic-line 29 mm i mechanimem C3</v>
      </c>
      <c r="D71" s="36" t="str">
        <f>výpočty!$W$8</f>
        <v>Czereśnia (E23)</v>
      </c>
      <c r="E71" t="s">
        <v>2130</v>
      </c>
      <c r="F71">
        <v>1</v>
      </c>
      <c r="G71" s="321" t="str">
        <f>Překlady!$A$146</f>
        <v>Nakładany system prowadzenia z metalic-line 29 mm i mechanizmem C3 można łączyć jedynie z systemem nawijania przez mechanike C3</v>
      </c>
      <c r="H71" t="str">
        <f>VLOOKUP(A:A,výpočty!$R$14:$S$15,2,FALSE)</f>
        <v>V</v>
      </c>
      <c r="I71" t="str">
        <f>VLOOKUP(B:B,výpočty!$R$9:$S$11,2,FALSE)</f>
        <v>X</v>
      </c>
      <c r="J71" t="str">
        <f>VLOOKUP(CHYBY!C:C,výpočty!$R$3:$S$7,2,FALSE)</f>
        <v>E</v>
      </c>
      <c r="K71">
        <f>VLOOKUP(D:D,výpočty!$W$3:$X$20,2,FALSE)</f>
        <v>6</v>
      </c>
      <c r="L71" t="str">
        <f t="shared" si="3"/>
        <v>VXE6</v>
      </c>
      <c r="M71" t="str">
        <f t="shared" si="4"/>
        <v>Nakładany system prowadzenia z metalic-line 29 mm i mechanizmem C3 można łączyć jedynie z systemem nawijania przez mechanike C3</v>
      </c>
      <c r="N71">
        <f t="shared" si="5"/>
        <v>1</v>
      </c>
    </row>
    <row r="72" spans="1:14" ht="13.8" x14ac:dyDescent="0.3">
      <c r="A72" s="255" t="str">
        <f>výpočty!$R$14</f>
        <v>Pionowy (z góry na dół)</v>
      </c>
      <c r="B72" s="256" t="str">
        <f>výpočty!$R$9</f>
        <v>Do tyłu</v>
      </c>
      <c r="C72" t="str">
        <f>výpočty!$R$7</f>
        <v>Nakładany z prowadzeniem metalic-line 29 mm i mechanimem C3</v>
      </c>
      <c r="D72" s="36" t="str">
        <f>výpočty!$W$9</f>
        <v>Klon (E23)</v>
      </c>
      <c r="E72" t="s">
        <v>2130</v>
      </c>
      <c r="F72">
        <v>1</v>
      </c>
      <c r="G72" s="321" t="str">
        <f>Překlady!$A$146</f>
        <v>Nakładany system prowadzenia z metalic-line 29 mm i mechanizmem C3 można łączyć jedynie z systemem nawijania przez mechanike C3</v>
      </c>
      <c r="H72" t="str">
        <f>VLOOKUP(A:A,výpočty!$R$14:$S$15,2,FALSE)</f>
        <v>V</v>
      </c>
      <c r="I72" t="str">
        <f>VLOOKUP(B:B,výpočty!$R$9:$S$11,2,FALSE)</f>
        <v>X</v>
      </c>
      <c r="J72" t="str">
        <f>VLOOKUP(CHYBY!C:C,výpočty!$R$3:$S$7,2,FALSE)</f>
        <v>E</v>
      </c>
      <c r="K72">
        <f>VLOOKUP(D:D,výpočty!$W$3:$X$20,2,FALSE)</f>
        <v>7</v>
      </c>
      <c r="L72" t="str">
        <f t="shared" si="3"/>
        <v>VXE7</v>
      </c>
      <c r="M72" t="str">
        <f t="shared" si="4"/>
        <v>Nakładany system prowadzenia z metalic-line 29 mm i mechanizmem C3 można łączyć jedynie z systemem nawijania przez mechanike C3</v>
      </c>
      <c r="N72">
        <f t="shared" si="5"/>
        <v>1</v>
      </c>
    </row>
    <row r="73" spans="1:14" ht="13.8" x14ac:dyDescent="0.3">
      <c r="A73" s="255" t="str">
        <f>výpočty!$R$14</f>
        <v>Pionowy (z góry na dół)</v>
      </c>
      <c r="B73" s="256" t="str">
        <f>výpočty!$R$9</f>
        <v>Do tyłu</v>
      </c>
      <c r="C73" t="str">
        <f>výpočty!$R$7</f>
        <v>Nakładany z prowadzeniem metalic-line 29 mm i mechanimem C3</v>
      </c>
      <c r="D73" s="36" t="str">
        <f>výpočty!$W$10</f>
        <v>Brzoza (E23)</v>
      </c>
      <c r="E73" t="s">
        <v>2130</v>
      </c>
      <c r="F73">
        <v>1</v>
      </c>
      <c r="G73" s="321" t="str">
        <f>Překlady!$A$146</f>
        <v>Nakładany system prowadzenia z metalic-line 29 mm i mechanizmem C3 można łączyć jedynie z systemem nawijania przez mechanike C3</v>
      </c>
      <c r="H73" t="str">
        <f>VLOOKUP(A:A,výpočty!$R$14:$S$15,2,FALSE)</f>
        <v>V</v>
      </c>
      <c r="I73" t="str">
        <f>VLOOKUP(B:B,výpočty!$R$9:$S$11,2,FALSE)</f>
        <v>X</v>
      </c>
      <c r="J73" t="str">
        <f>VLOOKUP(CHYBY!C:C,výpočty!$R$3:$S$7,2,FALSE)</f>
        <v>E</v>
      </c>
      <c r="K73">
        <f>VLOOKUP(D:D,výpočty!$W$3:$X$20,2,FALSE)</f>
        <v>8</v>
      </c>
      <c r="L73" t="str">
        <f t="shared" si="3"/>
        <v>VXE8</v>
      </c>
      <c r="M73" t="str">
        <f t="shared" si="4"/>
        <v>Nakładany system prowadzenia z metalic-line 29 mm i mechanizmem C3 można łączyć jedynie z systemem nawijania przez mechanike C3</v>
      </c>
      <c r="N73">
        <f t="shared" si="5"/>
        <v>1</v>
      </c>
    </row>
    <row r="74" spans="1:14" ht="13.8" x14ac:dyDescent="0.3">
      <c r="A74" s="255" t="str">
        <f>výpočty!$R$14</f>
        <v>Pionowy (z góry na dół)</v>
      </c>
      <c r="B74" s="256" t="str">
        <f>výpočty!$R$9</f>
        <v>Do tyłu</v>
      </c>
      <c r="C74" t="str">
        <f>výpočty!$R$7</f>
        <v>Nakładany z prowadzeniem metalic-line 29 mm i mechanimem C3</v>
      </c>
      <c r="D74" s="36" t="str">
        <f>výpočty!$W$11</f>
        <v>Czereśnia havana (E23)</v>
      </c>
      <c r="E74" t="s">
        <v>2130</v>
      </c>
      <c r="F74">
        <v>1</v>
      </c>
      <c r="G74" s="321" t="str">
        <f>Překlady!$A$146</f>
        <v>Nakładany system prowadzenia z metalic-line 29 mm i mechanizmem C3 można łączyć jedynie z systemem nawijania przez mechanike C3</v>
      </c>
      <c r="H74" t="str">
        <f>VLOOKUP(A:A,výpočty!$R$14:$S$15,2,FALSE)</f>
        <v>V</v>
      </c>
      <c r="I74" t="str">
        <f>VLOOKUP(B:B,výpočty!$R$9:$S$11,2,FALSE)</f>
        <v>X</v>
      </c>
      <c r="J74" t="str">
        <f>VLOOKUP(CHYBY!C:C,výpočty!$R$3:$S$7,2,FALSE)</f>
        <v>E</v>
      </c>
      <c r="K74">
        <f>VLOOKUP(D:D,výpočty!$W$3:$X$20,2,FALSE)</f>
        <v>9</v>
      </c>
      <c r="L74" t="str">
        <f t="shared" si="3"/>
        <v>VXE9</v>
      </c>
      <c r="M74" t="str">
        <f t="shared" si="4"/>
        <v>Nakładany system prowadzenia z metalic-line 29 mm i mechanizmem C3 można łączyć jedynie z systemem nawijania przez mechanike C3</v>
      </c>
      <c r="N74">
        <f t="shared" si="5"/>
        <v>1</v>
      </c>
    </row>
    <row r="75" spans="1:14" ht="13.8" x14ac:dyDescent="0.3">
      <c r="A75" s="255" t="str">
        <f>výpočty!$R$14</f>
        <v>Pionowy (z góry na dół)</v>
      </c>
      <c r="B75" s="256" t="str">
        <f>výpočty!$R$9</f>
        <v>Do tyłu</v>
      </c>
      <c r="C75" t="str">
        <f>výpočty!$R$7</f>
        <v>Nakładany z prowadzeniem metalic-line 29 mm i mechanimem C3</v>
      </c>
      <c r="D75" s="36" t="str">
        <f>výpočty!$W$12</f>
        <v>Calvados (E23)</v>
      </c>
      <c r="E75" t="s">
        <v>2130</v>
      </c>
      <c r="F75">
        <v>1</v>
      </c>
      <c r="G75" s="321" t="str">
        <f>Překlady!$A$146</f>
        <v>Nakładany system prowadzenia z metalic-line 29 mm i mechanizmem C3 można łączyć jedynie z systemem nawijania przez mechanike C3</v>
      </c>
      <c r="H75" t="str">
        <f>VLOOKUP(A:A,výpočty!$R$14:$S$15,2,FALSE)</f>
        <v>V</v>
      </c>
      <c r="I75" t="str">
        <f>VLOOKUP(B:B,výpočty!$R$9:$S$11,2,FALSE)</f>
        <v>X</v>
      </c>
      <c r="J75" t="str">
        <f>VLOOKUP(CHYBY!C:C,výpočty!$R$3:$S$7,2,FALSE)</f>
        <v>E</v>
      </c>
      <c r="K75">
        <f>VLOOKUP(D:D,výpočty!$W$3:$X$20,2,FALSE)</f>
        <v>10</v>
      </c>
      <c r="L75" t="str">
        <f t="shared" si="3"/>
        <v>VXE10</v>
      </c>
      <c r="M75" t="str">
        <f t="shared" si="4"/>
        <v>Nakładany system prowadzenia z metalic-line 29 mm i mechanizmem C3 można łączyć jedynie z systemem nawijania przez mechanike C3</v>
      </c>
      <c r="N75">
        <f t="shared" si="5"/>
        <v>1</v>
      </c>
    </row>
    <row r="76" spans="1:14" ht="13.8" x14ac:dyDescent="0.3">
      <c r="A76" s="255" t="str">
        <f>výpočty!$R$14</f>
        <v>Pionowy (z góry na dół)</v>
      </c>
      <c r="B76" s="256" t="str">
        <f>výpočty!$R$9</f>
        <v>Do tyłu</v>
      </c>
      <c r="C76" t="str">
        <f>výpočty!$R$7</f>
        <v>Nakładany z prowadzeniem metalic-line 29 mm i mechanimem C3</v>
      </c>
      <c r="D76" s="36" t="str">
        <f>výpočty!$W$14</f>
        <v>śnieżno biala mat (E9)</v>
      </c>
      <c r="E76" t="s">
        <v>2130</v>
      </c>
      <c r="F76">
        <v>1</v>
      </c>
      <c r="G76" s="321" t="str">
        <f>Překlady!$A$142</f>
        <v>Kolor śnieżno biały w profilu E9 można łączyć jedynie z prowadzeniem Classic i systemem nawijania do tyłu</v>
      </c>
      <c r="H76" t="str">
        <f>VLOOKUP(A:A,výpočty!$R$14:$S$15,2,FALSE)</f>
        <v>V</v>
      </c>
      <c r="I76" t="str">
        <f>VLOOKUP(B:B,výpočty!$R$9:$S$11,2,FALSE)</f>
        <v>X</v>
      </c>
      <c r="J76" t="str">
        <f>VLOOKUP(CHYBY!C:C,výpočty!$R$3:$S$7,2,FALSE)</f>
        <v>E</v>
      </c>
      <c r="K76">
        <f>VLOOKUP(D:D,výpočty!$W$3:$X$20,2,FALSE)</f>
        <v>12</v>
      </c>
      <c r="L76" t="str">
        <f t="shared" si="3"/>
        <v>VXE12</v>
      </c>
      <c r="M76" t="str">
        <f t="shared" si="4"/>
        <v>Kolor śnieżno biały w profilu E9 można łączyć jedynie z prowadzeniem Classic i systemem nawijania do tyłu</v>
      </c>
      <c r="N76">
        <f t="shared" si="5"/>
        <v>1</v>
      </c>
    </row>
    <row r="77" spans="1:14" ht="13.8" x14ac:dyDescent="0.3">
      <c r="A77" s="255" t="str">
        <f>výpočty!$R$14</f>
        <v>Pionowy (z góry na dół)</v>
      </c>
      <c r="B77" s="256" t="str">
        <f>výpočty!$R$9</f>
        <v>Do tyłu</v>
      </c>
      <c r="C77" t="str">
        <f>výpočty!$R$7</f>
        <v>Nakładany z prowadzeniem metalic-line 29 mm i mechanimem C3</v>
      </c>
      <c r="D77" s="36" t="str">
        <f>výpočty!$W$15</f>
        <v>Aluminowa plastik (E4)</v>
      </c>
      <c r="E77" t="s">
        <v>2130</v>
      </c>
      <c r="F77">
        <v>1</v>
      </c>
      <c r="G77" s="321" t="str">
        <f>Překlady!$A$143</f>
        <v>Kolor aluminium plastik w profilu E4 jest idealny do poziomych rozwiązań w kombinacji z prowadzeniem Classic z systemem nawijania do tyłu</v>
      </c>
      <c r="H77" t="str">
        <f>VLOOKUP(A:A,výpočty!$R$14:$S$15,2,FALSE)</f>
        <v>V</v>
      </c>
      <c r="I77" t="str">
        <f>VLOOKUP(B:B,výpočty!$R$9:$S$11,2,FALSE)</f>
        <v>X</v>
      </c>
      <c r="J77" t="str">
        <f>VLOOKUP(CHYBY!C:C,výpočty!$R$3:$S$7,2,FALSE)</f>
        <v>E</v>
      </c>
      <c r="K77">
        <f>VLOOKUP(D:D,výpočty!$W$3:$X$20,2,FALSE)</f>
        <v>13</v>
      </c>
      <c r="L77" t="str">
        <f t="shared" si="3"/>
        <v>VXE13</v>
      </c>
      <c r="M77" t="str">
        <f t="shared" si="4"/>
        <v>Kolor aluminium plastik w profilu E4 jest idealny do poziomych rozwiązań w kombinacji z prowadzeniem Classic z systemem nawijania do tyłu</v>
      </c>
      <c r="N77">
        <f t="shared" si="5"/>
        <v>1</v>
      </c>
    </row>
    <row r="78" spans="1:14" ht="13.8" x14ac:dyDescent="0.3">
      <c r="A78" s="255" t="str">
        <f>výpočty!$R$14</f>
        <v>Pionowy (z góry na dół)</v>
      </c>
      <c r="B78" s="256" t="str">
        <f>výpočty!$R$9</f>
        <v>Do tyłu</v>
      </c>
      <c r="C78" t="str">
        <f>výpočty!$R$7</f>
        <v>Nakładany z prowadzeniem metalic-line 29 mm i mechanimem C3</v>
      </c>
      <c r="D78" s="36">
        <f>výpočty!$W$17</f>
        <v>0</v>
      </c>
      <c r="E78" s="321" t="s">
        <v>2130</v>
      </c>
      <c r="F78">
        <v>0</v>
      </c>
      <c r="G78" s="321" t="str">
        <f>Překlady!$A$146</f>
        <v>Nakładany system prowadzenia z metalic-line 29 mm i mechanizmem C3 można łączyć jedynie z systemem nawijania przez mechanike C3</v>
      </c>
      <c r="H78" t="str">
        <f>VLOOKUP(A:A,výpočty!$R$14:$S$15,2,FALSE)</f>
        <v>V</v>
      </c>
      <c r="I78" t="str">
        <f>VLOOKUP(B:B,výpočty!$R$9:$S$11,2,FALSE)</f>
        <v>X</v>
      </c>
      <c r="J78" t="str">
        <f>VLOOKUP(CHYBY!C:C,výpočty!$R$3:$S$7,2,FALSE)</f>
        <v>E</v>
      </c>
      <c r="K78" t="e">
        <f>VLOOKUP(D:D,výpočty!$W$3:$X$20,2,FALSE)</f>
        <v>#N/A</v>
      </c>
      <c r="L78" t="e">
        <f t="shared" si="3"/>
        <v>#N/A</v>
      </c>
      <c r="M78" t="str">
        <f t="shared" si="4"/>
        <v>Nakładany system prowadzenia z metalic-line 29 mm i mechanizmem C3 można łączyć jedynie z systemem nawijania przez mechanike C3</v>
      </c>
      <c r="N78">
        <f t="shared" si="5"/>
        <v>0</v>
      </c>
    </row>
    <row r="79" spans="1:14" ht="13.8" x14ac:dyDescent="0.3">
      <c r="A79" s="255" t="str">
        <f>výpočty!$R$14</f>
        <v>Pionowy (z góry na dół)</v>
      </c>
      <c r="B79" s="256" t="str">
        <f>výpočty!$R$9</f>
        <v>Do tyłu</v>
      </c>
      <c r="C79" t="str">
        <f>výpočty!$R$7</f>
        <v>Nakładany z prowadzeniem metalic-line 29 mm i mechanimem C3</v>
      </c>
      <c r="D79" s="36">
        <f>výpočty!$W$18</f>
        <v>0</v>
      </c>
      <c r="E79" s="321" t="s">
        <v>2130</v>
      </c>
      <c r="F79">
        <v>0</v>
      </c>
      <c r="G79" s="321" t="str">
        <f>Překlady!$A$146</f>
        <v>Nakładany system prowadzenia z metalic-line 29 mm i mechanizmem C3 można łączyć jedynie z systemem nawijania przez mechanike C3</v>
      </c>
      <c r="H79" t="str">
        <f>VLOOKUP(A:A,výpočty!$R$14:$S$15,2,FALSE)</f>
        <v>V</v>
      </c>
      <c r="I79" t="str">
        <f>VLOOKUP(B:B,výpočty!$R$9:$S$11,2,FALSE)</f>
        <v>X</v>
      </c>
      <c r="J79" t="str">
        <f>VLOOKUP(CHYBY!C:C,výpočty!$R$3:$S$7,2,FALSE)</f>
        <v>E</v>
      </c>
      <c r="K79" t="e">
        <f>VLOOKUP(D:D,výpočty!$W$3:$X$20,2,FALSE)</f>
        <v>#N/A</v>
      </c>
      <c r="L79" t="e">
        <f t="shared" si="3"/>
        <v>#N/A</v>
      </c>
      <c r="M79" t="str">
        <f t="shared" si="4"/>
        <v>Nakładany system prowadzenia z metalic-line 29 mm i mechanizmem C3 można łączyć jedynie z systemem nawijania przez mechanike C3</v>
      </c>
      <c r="N79">
        <f t="shared" si="5"/>
        <v>0</v>
      </c>
    </row>
    <row r="80" spans="1:14" ht="13.8" x14ac:dyDescent="0.3">
      <c r="A80" s="255" t="str">
        <f>výpočty!$R$14</f>
        <v>Pionowy (z góry na dół)</v>
      </c>
      <c r="B80" s="256" t="str">
        <f>výpočty!$R$9</f>
        <v>Do tyłu</v>
      </c>
      <c r="C80" t="str">
        <f>výpočty!$R$7</f>
        <v>Nakładany z prowadzeniem metalic-line 29 mm i mechanimem C3</v>
      </c>
      <c r="D80" s="36" t="str">
        <f>výpočty!$W$19</f>
        <v>Aluminium szerokość 25 mm (metallic-line)</v>
      </c>
      <c r="E80" s="321" t="s">
        <v>2130</v>
      </c>
      <c r="F80">
        <v>0</v>
      </c>
      <c r="G80" s="321" t="str">
        <f>Překlady!$A$146</f>
        <v>Nakładany system prowadzenia z metalic-line 29 mm i mechanizmem C3 można łączyć jedynie z systemem nawijania przez mechanike C3</v>
      </c>
      <c r="H80" t="str">
        <f>VLOOKUP(A:A,výpočty!$R$14:$S$15,2,FALSE)</f>
        <v>V</v>
      </c>
      <c r="I80" t="str">
        <f>VLOOKUP(B:B,výpočty!$R$9:$S$11,2,FALSE)</f>
        <v>X</v>
      </c>
      <c r="J80" t="str">
        <f>VLOOKUP(CHYBY!C:C,výpočty!$R$3:$S$7,2,FALSE)</f>
        <v>E</v>
      </c>
      <c r="K80">
        <f>VLOOKUP(D:D,výpočty!$W$3:$X$20,2,FALSE)</f>
        <v>17</v>
      </c>
      <c r="L80" t="str">
        <f t="shared" si="3"/>
        <v>VXE17</v>
      </c>
      <c r="M80" t="str">
        <f t="shared" si="4"/>
        <v>Nakładany system prowadzenia z metalic-line 29 mm i mechanizmem C3 można łączyć jedynie z systemem nawijania przez mechanike C3</v>
      </c>
      <c r="N80">
        <f t="shared" si="5"/>
        <v>0</v>
      </c>
    </row>
    <row r="81" spans="1:14" ht="14.4" thickBot="1" x14ac:dyDescent="0.35">
      <c r="A81" s="255" t="str">
        <f>výpočty!$R$14</f>
        <v>Pionowy (z góry na dół)</v>
      </c>
      <c r="B81" s="256" t="str">
        <f>výpočty!$R$9</f>
        <v>Do tyłu</v>
      </c>
      <c r="C81" t="str">
        <f>výpočty!$R$7</f>
        <v>Nakładany z prowadzeniem metalic-line 29 mm i mechanimem C3</v>
      </c>
      <c r="D81" s="27" t="str">
        <f>výpočty!$W$20</f>
        <v>Nierdz. szerokość 25 mm (metallic-line)</v>
      </c>
      <c r="E81" s="321" t="s">
        <v>2130</v>
      </c>
      <c r="F81">
        <v>0</v>
      </c>
      <c r="G81" s="321" t="str">
        <f>Překlady!$A$146</f>
        <v>Nakładany system prowadzenia z metalic-line 29 mm i mechanizmem C3 można łączyć jedynie z systemem nawijania przez mechanike C3</v>
      </c>
      <c r="H81" t="str">
        <f>VLOOKUP(A:A,výpočty!$R$14:$S$15,2,FALSE)</f>
        <v>V</v>
      </c>
      <c r="I81" t="str">
        <f>VLOOKUP(B:B,výpočty!$R$9:$S$11,2,FALSE)</f>
        <v>X</v>
      </c>
      <c r="J81" t="str">
        <f>VLOOKUP(CHYBY!C:C,výpočty!$R$3:$S$7,2,FALSE)</f>
        <v>E</v>
      </c>
      <c r="K81">
        <f>VLOOKUP(D:D,výpočty!$W$3:$X$20,2,FALSE)</f>
        <v>18</v>
      </c>
      <c r="L81" t="str">
        <f t="shared" si="3"/>
        <v>VXE18</v>
      </c>
      <c r="M81" t="str">
        <f t="shared" si="4"/>
        <v>Nakładany system prowadzenia z metalic-line 29 mm i mechanizmem C3 można łączyć jedynie z systemem nawijania przez mechanike C3</v>
      </c>
      <c r="N81">
        <f t="shared" si="5"/>
        <v>0</v>
      </c>
    </row>
    <row r="82" spans="1:14" ht="13.8" x14ac:dyDescent="0.3">
      <c r="A82" s="255" t="str">
        <f>výpočty!$R$14</f>
        <v>Pionowy (z góry na dół)</v>
      </c>
      <c r="B82" s="256" t="str">
        <f>výpočty!$R$10</f>
        <v>Do ślimaka roletowego</v>
      </c>
      <c r="C82" t="str">
        <f>výpočty!$R$3</f>
        <v>TOP Basic - wpuszczany do przykręcenia plastikowy</v>
      </c>
      <c r="D82" s="26" t="str">
        <f>výpočty!$W$3</f>
        <v>Czarny (E23)</v>
      </c>
      <c r="E82" t="s">
        <v>2130</v>
      </c>
      <c r="F82">
        <v>1</v>
      </c>
      <c r="G82" t="str">
        <f>Překlady!$A$147</f>
        <v>Systemu TOP BASIC nie da się zastosować z ślimakiem roletowym. Zalecamy wybrać wersję TOP.</v>
      </c>
      <c r="H82" t="str">
        <f>VLOOKUP(A:A,výpočty!$R$14:$S$15,2,FALSE)</f>
        <v>V</v>
      </c>
      <c r="I82" t="str">
        <f>VLOOKUP(B:B,výpočty!$R$9:$S$11,2,FALSE)</f>
        <v>Y</v>
      </c>
      <c r="J82" t="str">
        <f>VLOOKUP(CHYBY!C:C,výpočty!$R$3:$S$7,2,FALSE)</f>
        <v>A</v>
      </c>
      <c r="K82">
        <f>VLOOKUP(D:D,výpočty!$W$3:$X$20,2,FALSE)</f>
        <v>1</v>
      </c>
      <c r="L82" t="str">
        <f t="shared" si="3"/>
        <v>VYA1</v>
      </c>
      <c r="M82" t="str">
        <f t="shared" si="4"/>
        <v>Systemu TOP BASIC nie da się zastosować z ślimakiem roletowym. Zalecamy wybrać wersję TOP.</v>
      </c>
      <c r="N82">
        <f t="shared" si="5"/>
        <v>1</v>
      </c>
    </row>
    <row r="83" spans="1:14" ht="13.8" x14ac:dyDescent="0.3">
      <c r="A83" s="255" t="str">
        <f>výpočty!$R$14</f>
        <v>Pionowy (z góry na dół)</v>
      </c>
      <c r="B83" s="256" t="str">
        <f>výpočty!$R$10</f>
        <v>Do ślimaka roletowego</v>
      </c>
      <c r="C83" t="str">
        <f>výpočty!$R$3</f>
        <v>TOP Basic - wpuszczany do przykręcenia plastikowy</v>
      </c>
      <c r="D83" s="36" t="str">
        <f>výpočty!$W$4</f>
        <v>Biały (E23)</v>
      </c>
      <c r="E83" t="s">
        <v>2130</v>
      </c>
      <c r="F83">
        <v>1</v>
      </c>
      <c r="G83" t="str">
        <f>Překlady!$A$147</f>
        <v>Systemu TOP BASIC nie da się zastosować z ślimakiem roletowym. Zalecamy wybrać wersję TOP.</v>
      </c>
      <c r="H83" t="str">
        <f>VLOOKUP(A:A,výpočty!$R$14:$S$15,2,FALSE)</f>
        <v>V</v>
      </c>
      <c r="I83" t="str">
        <f>VLOOKUP(B:B,výpočty!$R$9:$S$11,2,FALSE)</f>
        <v>Y</v>
      </c>
      <c r="J83" t="str">
        <f>VLOOKUP(CHYBY!C:C,výpočty!$R$3:$S$7,2,FALSE)</f>
        <v>A</v>
      </c>
      <c r="K83">
        <f>VLOOKUP(D:D,výpočty!$W$3:$X$20,2,FALSE)</f>
        <v>2</v>
      </c>
      <c r="L83" t="str">
        <f t="shared" si="3"/>
        <v>VYA2</v>
      </c>
      <c r="M83" t="str">
        <f t="shared" si="4"/>
        <v>Systemu TOP BASIC nie da się zastosować z ślimakiem roletowym. Zalecamy wybrać wersję TOP.</v>
      </c>
      <c r="N83">
        <f t="shared" si="5"/>
        <v>1</v>
      </c>
    </row>
    <row r="84" spans="1:14" ht="13.8" x14ac:dyDescent="0.3">
      <c r="A84" s="255" t="str">
        <f>výpočty!$R$14</f>
        <v>Pionowy (z góry na dół)</v>
      </c>
      <c r="B84" s="256" t="str">
        <f>výpočty!$R$10</f>
        <v>Do ślimaka roletowego</v>
      </c>
      <c r="C84" t="str">
        <f>výpočty!$R$3</f>
        <v>TOP Basic - wpuszczany do przykręcenia plastikowy</v>
      </c>
      <c r="D84" s="36" t="str">
        <f>výpočty!$W$5</f>
        <v>Szary (E23)</v>
      </c>
      <c r="E84" t="s">
        <v>2130</v>
      </c>
      <c r="F84">
        <v>1</v>
      </c>
      <c r="G84" t="str">
        <f>Překlady!$A$147</f>
        <v>Systemu TOP BASIC nie da się zastosować z ślimakiem roletowym. Zalecamy wybrać wersję TOP.</v>
      </c>
      <c r="H84" t="str">
        <f>VLOOKUP(A:A,výpočty!$R$14:$S$15,2,FALSE)</f>
        <v>V</v>
      </c>
      <c r="I84" t="str">
        <f>VLOOKUP(B:B,výpočty!$R$9:$S$11,2,FALSE)</f>
        <v>Y</v>
      </c>
      <c r="J84" t="str">
        <f>VLOOKUP(CHYBY!C:C,výpočty!$R$3:$S$7,2,FALSE)</f>
        <v>A</v>
      </c>
      <c r="K84">
        <f>VLOOKUP(D:D,výpočty!$W$3:$X$20,2,FALSE)</f>
        <v>3</v>
      </c>
      <c r="L84" t="str">
        <f t="shared" si="3"/>
        <v>VYA3</v>
      </c>
      <c r="M84" t="str">
        <f t="shared" si="4"/>
        <v>Systemu TOP BASIC nie da się zastosować z ślimakiem roletowym. Zalecamy wybrać wersję TOP.</v>
      </c>
      <c r="N84">
        <f t="shared" si="5"/>
        <v>1</v>
      </c>
    </row>
    <row r="85" spans="1:14" ht="13.8" x14ac:dyDescent="0.3">
      <c r="A85" s="255" t="str">
        <f>výpočty!$R$14</f>
        <v>Pionowy (z góry na dół)</v>
      </c>
      <c r="B85" s="256" t="str">
        <f>výpočty!$R$10</f>
        <v>Do ślimaka roletowego</v>
      </c>
      <c r="C85" t="str">
        <f>výpočty!$R$3</f>
        <v>TOP Basic - wpuszczany do przykręcenia plastikowy</v>
      </c>
      <c r="D85" s="36" t="str">
        <f>výpočty!$W$6</f>
        <v>Aluminowa plastik (E23)</v>
      </c>
      <c r="E85" t="s">
        <v>2130</v>
      </c>
      <c r="F85">
        <v>1</v>
      </c>
      <c r="G85" t="str">
        <f>Překlady!$A$147</f>
        <v>Systemu TOP BASIC nie da się zastosować z ślimakiem roletowym. Zalecamy wybrać wersję TOP.</v>
      </c>
      <c r="H85" t="str">
        <f>VLOOKUP(A:A,výpočty!$R$14:$S$15,2,FALSE)</f>
        <v>V</v>
      </c>
      <c r="I85" t="str">
        <f>VLOOKUP(B:B,výpočty!$R$9:$S$11,2,FALSE)</f>
        <v>Y</v>
      </c>
      <c r="J85" t="str">
        <f>VLOOKUP(CHYBY!C:C,výpočty!$R$3:$S$7,2,FALSE)</f>
        <v>A</v>
      </c>
      <c r="K85">
        <f>VLOOKUP(D:D,výpočty!$W$3:$X$20,2,FALSE)</f>
        <v>4</v>
      </c>
      <c r="L85" t="str">
        <f t="shared" si="3"/>
        <v>VYA4</v>
      </c>
      <c r="M85" t="str">
        <f t="shared" si="4"/>
        <v>Systemu TOP BASIC nie da się zastosować z ślimakiem roletowym. Zalecamy wybrać wersję TOP.</v>
      </c>
      <c r="N85">
        <f t="shared" si="5"/>
        <v>1</v>
      </c>
    </row>
    <row r="86" spans="1:14" ht="13.8" x14ac:dyDescent="0.3">
      <c r="A86" s="255" t="str">
        <f>výpočty!$R$14</f>
        <v>Pionowy (z góry na dół)</v>
      </c>
      <c r="B86" s="256" t="str">
        <f>výpočty!$R$10</f>
        <v>Do ślimaka roletowego</v>
      </c>
      <c r="C86" t="str">
        <f>výpočty!$R$3</f>
        <v>TOP Basic - wpuszczany do przykręcenia plastikowy</v>
      </c>
      <c r="D86" s="36" t="str">
        <f>výpočty!$W$7</f>
        <v>Buk (E23)</v>
      </c>
      <c r="E86" t="s">
        <v>2130</v>
      </c>
      <c r="F86">
        <v>1</v>
      </c>
      <c r="G86" t="str">
        <f>Překlady!$A$147</f>
        <v>Systemu TOP BASIC nie da się zastosować z ślimakiem roletowym. Zalecamy wybrać wersję TOP.</v>
      </c>
      <c r="H86" t="str">
        <f>VLOOKUP(A:A,výpočty!$R$14:$S$15,2,FALSE)</f>
        <v>V</v>
      </c>
      <c r="I86" t="str">
        <f>VLOOKUP(B:B,výpočty!$R$9:$S$11,2,FALSE)</f>
        <v>Y</v>
      </c>
      <c r="J86" t="str">
        <f>VLOOKUP(CHYBY!C:C,výpočty!$R$3:$S$7,2,FALSE)</f>
        <v>A</v>
      </c>
      <c r="K86">
        <f>VLOOKUP(D:D,výpočty!$W$3:$X$20,2,FALSE)</f>
        <v>5</v>
      </c>
      <c r="L86" t="str">
        <f t="shared" si="3"/>
        <v>VYA5</v>
      </c>
      <c r="M86" t="str">
        <f t="shared" si="4"/>
        <v>Systemu TOP BASIC nie da się zastosować z ślimakiem roletowym. Zalecamy wybrać wersję TOP.</v>
      </c>
      <c r="N86">
        <f t="shared" si="5"/>
        <v>1</v>
      </c>
    </row>
    <row r="87" spans="1:14" ht="13.8" x14ac:dyDescent="0.3">
      <c r="A87" s="255" t="str">
        <f>výpočty!$R$14</f>
        <v>Pionowy (z góry na dół)</v>
      </c>
      <c r="B87" s="256" t="str">
        <f>výpočty!$R$10</f>
        <v>Do ślimaka roletowego</v>
      </c>
      <c r="C87" t="str">
        <f>výpočty!$R$3</f>
        <v>TOP Basic - wpuszczany do przykręcenia plastikowy</v>
      </c>
      <c r="D87" s="36" t="str">
        <f>výpočty!$W$8</f>
        <v>Czereśnia (E23)</v>
      </c>
      <c r="E87" t="s">
        <v>2130</v>
      </c>
      <c r="F87">
        <v>1</v>
      </c>
      <c r="G87" t="str">
        <f>Překlady!$A$147</f>
        <v>Systemu TOP BASIC nie da się zastosować z ślimakiem roletowym. Zalecamy wybrać wersję TOP.</v>
      </c>
      <c r="H87" t="str">
        <f>VLOOKUP(A:A,výpočty!$R$14:$S$15,2,FALSE)</f>
        <v>V</v>
      </c>
      <c r="I87" t="str">
        <f>VLOOKUP(B:B,výpočty!$R$9:$S$11,2,FALSE)</f>
        <v>Y</v>
      </c>
      <c r="J87" t="str">
        <f>VLOOKUP(CHYBY!C:C,výpočty!$R$3:$S$7,2,FALSE)</f>
        <v>A</v>
      </c>
      <c r="K87">
        <f>VLOOKUP(D:D,výpočty!$W$3:$X$20,2,FALSE)</f>
        <v>6</v>
      </c>
      <c r="L87" t="str">
        <f t="shared" si="3"/>
        <v>VYA6</v>
      </c>
      <c r="M87" t="str">
        <f t="shared" si="4"/>
        <v>Systemu TOP BASIC nie da się zastosować z ślimakiem roletowym. Zalecamy wybrać wersję TOP.</v>
      </c>
      <c r="N87">
        <f t="shared" si="5"/>
        <v>1</v>
      </c>
    </row>
    <row r="88" spans="1:14" ht="13.8" x14ac:dyDescent="0.3">
      <c r="A88" s="255" t="str">
        <f>výpočty!$R$14</f>
        <v>Pionowy (z góry na dół)</v>
      </c>
      <c r="B88" s="256" t="str">
        <f>výpočty!$R$10</f>
        <v>Do ślimaka roletowego</v>
      </c>
      <c r="C88" t="str">
        <f>výpočty!$R$3</f>
        <v>TOP Basic - wpuszczany do przykręcenia plastikowy</v>
      </c>
      <c r="D88" s="36" t="str">
        <f>výpočty!$W$9</f>
        <v>Klon (E23)</v>
      </c>
      <c r="E88" t="s">
        <v>2130</v>
      </c>
      <c r="F88">
        <v>1</v>
      </c>
      <c r="G88" t="str">
        <f>Překlady!$A$147</f>
        <v>Systemu TOP BASIC nie da się zastosować z ślimakiem roletowym. Zalecamy wybrać wersję TOP.</v>
      </c>
      <c r="H88" t="str">
        <f>VLOOKUP(A:A,výpočty!$R$14:$S$15,2,FALSE)</f>
        <v>V</v>
      </c>
      <c r="I88" t="str">
        <f>VLOOKUP(B:B,výpočty!$R$9:$S$11,2,FALSE)</f>
        <v>Y</v>
      </c>
      <c r="J88" t="str">
        <f>VLOOKUP(CHYBY!C:C,výpočty!$R$3:$S$7,2,FALSE)</f>
        <v>A</v>
      </c>
      <c r="K88">
        <f>VLOOKUP(D:D,výpočty!$W$3:$X$20,2,FALSE)</f>
        <v>7</v>
      </c>
      <c r="L88" t="str">
        <f t="shared" si="3"/>
        <v>VYA7</v>
      </c>
      <c r="M88" t="str">
        <f t="shared" si="4"/>
        <v>Systemu TOP BASIC nie da się zastosować z ślimakiem roletowym. Zalecamy wybrać wersję TOP.</v>
      </c>
      <c r="N88">
        <f t="shared" si="5"/>
        <v>1</v>
      </c>
    </row>
    <row r="89" spans="1:14" ht="13.8" x14ac:dyDescent="0.3">
      <c r="A89" s="255" t="str">
        <f>výpočty!$R$14</f>
        <v>Pionowy (z góry na dół)</v>
      </c>
      <c r="B89" s="256" t="str">
        <f>výpočty!$R$10</f>
        <v>Do ślimaka roletowego</v>
      </c>
      <c r="C89" t="str">
        <f>výpočty!$R$3</f>
        <v>TOP Basic - wpuszczany do przykręcenia plastikowy</v>
      </c>
      <c r="D89" s="36" t="str">
        <f>výpočty!$W$10</f>
        <v>Brzoza (E23)</v>
      </c>
      <c r="E89" t="s">
        <v>2130</v>
      </c>
      <c r="F89">
        <v>1</v>
      </c>
      <c r="G89" t="str">
        <f>Překlady!$A$147</f>
        <v>Systemu TOP BASIC nie da się zastosować z ślimakiem roletowym. Zalecamy wybrać wersję TOP.</v>
      </c>
      <c r="H89" t="str">
        <f>VLOOKUP(A:A,výpočty!$R$14:$S$15,2,FALSE)</f>
        <v>V</v>
      </c>
      <c r="I89" t="str">
        <f>VLOOKUP(B:B,výpočty!$R$9:$S$11,2,FALSE)</f>
        <v>Y</v>
      </c>
      <c r="J89" t="str">
        <f>VLOOKUP(CHYBY!C:C,výpočty!$R$3:$S$7,2,FALSE)</f>
        <v>A</v>
      </c>
      <c r="K89">
        <f>VLOOKUP(D:D,výpočty!$W$3:$X$20,2,FALSE)</f>
        <v>8</v>
      </c>
      <c r="L89" t="str">
        <f t="shared" si="3"/>
        <v>VYA8</v>
      </c>
      <c r="M89" t="str">
        <f t="shared" si="4"/>
        <v>Systemu TOP BASIC nie da się zastosować z ślimakiem roletowym. Zalecamy wybrać wersję TOP.</v>
      </c>
      <c r="N89">
        <f t="shared" si="5"/>
        <v>1</v>
      </c>
    </row>
    <row r="90" spans="1:14" ht="13.8" x14ac:dyDescent="0.3">
      <c r="A90" s="255" t="str">
        <f>výpočty!$R$14</f>
        <v>Pionowy (z góry na dół)</v>
      </c>
      <c r="B90" s="256" t="str">
        <f>výpočty!$R$10</f>
        <v>Do ślimaka roletowego</v>
      </c>
      <c r="C90" t="str">
        <f>výpočty!$R$3</f>
        <v>TOP Basic - wpuszczany do przykręcenia plastikowy</v>
      </c>
      <c r="D90" s="36" t="str">
        <f>výpočty!$W$11</f>
        <v>Czereśnia havana (E23)</v>
      </c>
      <c r="E90" t="s">
        <v>2130</v>
      </c>
      <c r="F90">
        <v>1</v>
      </c>
      <c r="G90" t="str">
        <f>Překlady!$A$147</f>
        <v>Systemu TOP BASIC nie da się zastosować z ślimakiem roletowym. Zalecamy wybrać wersję TOP.</v>
      </c>
      <c r="H90" t="str">
        <f>VLOOKUP(A:A,výpočty!$R$14:$S$15,2,FALSE)</f>
        <v>V</v>
      </c>
      <c r="I90" t="str">
        <f>VLOOKUP(B:B,výpočty!$R$9:$S$11,2,FALSE)</f>
        <v>Y</v>
      </c>
      <c r="J90" t="str">
        <f>VLOOKUP(CHYBY!C:C,výpočty!$R$3:$S$7,2,FALSE)</f>
        <v>A</v>
      </c>
      <c r="K90">
        <f>VLOOKUP(D:D,výpočty!$W$3:$X$20,2,FALSE)</f>
        <v>9</v>
      </c>
      <c r="L90" t="str">
        <f t="shared" si="3"/>
        <v>VYA9</v>
      </c>
      <c r="M90" t="str">
        <f t="shared" si="4"/>
        <v>Systemu TOP BASIC nie da się zastosować z ślimakiem roletowym. Zalecamy wybrać wersję TOP.</v>
      </c>
      <c r="N90">
        <f t="shared" si="5"/>
        <v>1</v>
      </c>
    </row>
    <row r="91" spans="1:14" ht="13.8" x14ac:dyDescent="0.3">
      <c r="A91" s="255" t="str">
        <f>výpočty!$R$14</f>
        <v>Pionowy (z góry na dół)</v>
      </c>
      <c r="B91" s="256" t="str">
        <f>výpočty!$R$10</f>
        <v>Do ślimaka roletowego</v>
      </c>
      <c r="C91" t="str">
        <f>výpočty!$R$3</f>
        <v>TOP Basic - wpuszczany do przykręcenia plastikowy</v>
      </c>
      <c r="D91" s="36" t="str">
        <f>výpočty!$W$12</f>
        <v>Calvados (E23)</v>
      </c>
      <c r="E91" t="s">
        <v>2130</v>
      </c>
      <c r="F91">
        <v>1</v>
      </c>
      <c r="G91" t="str">
        <f>Překlady!$A$147</f>
        <v>Systemu TOP BASIC nie da się zastosować z ślimakiem roletowym. Zalecamy wybrać wersję TOP.</v>
      </c>
      <c r="H91" t="str">
        <f>VLOOKUP(A:A,výpočty!$R$14:$S$15,2,FALSE)</f>
        <v>V</v>
      </c>
      <c r="I91" t="str">
        <f>VLOOKUP(B:B,výpočty!$R$9:$S$11,2,FALSE)</f>
        <v>Y</v>
      </c>
      <c r="J91" t="str">
        <f>VLOOKUP(CHYBY!C:C,výpočty!$R$3:$S$7,2,FALSE)</f>
        <v>A</v>
      </c>
      <c r="K91">
        <f>VLOOKUP(D:D,výpočty!$W$3:$X$20,2,FALSE)</f>
        <v>10</v>
      </c>
      <c r="L91" t="str">
        <f t="shared" si="3"/>
        <v>VYA10</v>
      </c>
      <c r="M91" t="str">
        <f t="shared" si="4"/>
        <v>Systemu TOP BASIC nie da się zastosować z ślimakiem roletowym. Zalecamy wybrać wersję TOP.</v>
      </c>
      <c r="N91">
        <f t="shared" si="5"/>
        <v>1</v>
      </c>
    </row>
    <row r="92" spans="1:14" ht="13.8" x14ac:dyDescent="0.3">
      <c r="A92" s="255" t="str">
        <f>výpočty!$R$14</f>
        <v>Pionowy (z góry na dół)</v>
      </c>
      <c r="B92" s="256" t="str">
        <f>výpočty!$R$10</f>
        <v>Do ślimaka roletowego</v>
      </c>
      <c r="C92" t="str">
        <f>výpočty!$R$3</f>
        <v>TOP Basic - wpuszczany do przykręcenia plastikowy</v>
      </c>
      <c r="D92" s="36" t="str">
        <f>výpočty!$W$14</f>
        <v>śnieżno biala mat (E9)</v>
      </c>
      <c r="E92" t="s">
        <v>2130</v>
      </c>
      <c r="F92">
        <v>1</v>
      </c>
      <c r="G92" s="321" t="str">
        <f>Překlady!$A$142</f>
        <v>Kolor śnieżno biały w profilu E9 można łączyć jedynie z prowadzeniem Classic i systemem nawijania do tyłu</v>
      </c>
      <c r="H92" t="str">
        <f>VLOOKUP(A:A,výpočty!$R$14:$S$15,2,FALSE)</f>
        <v>V</v>
      </c>
      <c r="I92" t="str">
        <f>VLOOKUP(B:B,výpočty!$R$9:$S$11,2,FALSE)</f>
        <v>Y</v>
      </c>
      <c r="J92" t="str">
        <f>VLOOKUP(CHYBY!C:C,výpočty!$R$3:$S$7,2,FALSE)</f>
        <v>A</v>
      </c>
      <c r="K92">
        <f>VLOOKUP(D:D,výpočty!$W$3:$X$20,2,FALSE)</f>
        <v>12</v>
      </c>
      <c r="L92" t="str">
        <f t="shared" si="3"/>
        <v>VYA12</v>
      </c>
      <c r="M92" t="str">
        <f t="shared" si="4"/>
        <v>Kolor śnieżno biały w profilu E9 można łączyć jedynie z prowadzeniem Classic i systemem nawijania do tyłu</v>
      </c>
      <c r="N92">
        <f t="shared" si="5"/>
        <v>1</v>
      </c>
    </row>
    <row r="93" spans="1:14" ht="13.8" x14ac:dyDescent="0.3">
      <c r="A93" s="255" t="str">
        <f>výpočty!$R$14</f>
        <v>Pionowy (z góry na dół)</v>
      </c>
      <c r="B93" s="256" t="str">
        <f>výpočty!$R$10</f>
        <v>Do ślimaka roletowego</v>
      </c>
      <c r="C93" t="str">
        <f>výpočty!$R$3</f>
        <v>TOP Basic - wpuszczany do przykręcenia plastikowy</v>
      </c>
      <c r="D93" s="36" t="str">
        <f>výpočty!$W$15</f>
        <v>Aluminowa plastik (E4)</v>
      </c>
      <c r="E93" t="s">
        <v>2130</v>
      </c>
      <c r="F93">
        <v>1</v>
      </c>
      <c r="G93" s="321" t="str">
        <f>Překlady!$A$143</f>
        <v>Kolor aluminium plastik w profilu E4 jest idealny do poziomych rozwiązań w kombinacji z prowadzeniem Classic z systemem nawijania do tyłu</v>
      </c>
      <c r="H93" t="str">
        <f>VLOOKUP(A:A,výpočty!$R$14:$S$15,2,FALSE)</f>
        <v>V</v>
      </c>
      <c r="I93" t="str">
        <f>VLOOKUP(B:B,výpočty!$R$9:$S$11,2,FALSE)</f>
        <v>Y</v>
      </c>
      <c r="J93" t="str">
        <f>VLOOKUP(CHYBY!C:C,výpočty!$R$3:$S$7,2,FALSE)</f>
        <v>A</v>
      </c>
      <c r="K93">
        <f>VLOOKUP(D:D,výpočty!$W$3:$X$20,2,FALSE)</f>
        <v>13</v>
      </c>
      <c r="L93" t="str">
        <f t="shared" si="3"/>
        <v>VYA13</v>
      </c>
      <c r="M93" t="str">
        <f t="shared" si="4"/>
        <v>Kolor aluminium plastik w profilu E4 jest idealny do poziomych rozwiązań w kombinacji z prowadzeniem Classic z systemem nawijania do tyłu</v>
      </c>
      <c r="N93">
        <f t="shared" si="5"/>
        <v>1</v>
      </c>
    </row>
    <row r="94" spans="1:14" ht="13.8" x14ac:dyDescent="0.3">
      <c r="A94" s="255" t="str">
        <f>výpočty!$R$14</f>
        <v>Pionowy (z góry na dół)</v>
      </c>
      <c r="B94" s="256" t="str">
        <f>výpočty!$R$10</f>
        <v>Do ślimaka roletowego</v>
      </c>
      <c r="C94" t="str">
        <f>výpočty!$R$3</f>
        <v>TOP Basic - wpuszczany do przykręcenia plastikowy</v>
      </c>
      <c r="D94" s="36">
        <f>výpočty!$W$17</f>
        <v>0</v>
      </c>
      <c r="E94" t="s">
        <v>2130</v>
      </c>
      <c r="F94">
        <v>1</v>
      </c>
      <c r="G94" t="str">
        <f>Překlady!$A$147</f>
        <v>Systemu TOP BASIC nie da się zastosować z ślimakiem roletowym. Zalecamy wybrać wersję TOP.</v>
      </c>
      <c r="H94" t="str">
        <f>VLOOKUP(A:A,výpočty!$R$14:$S$15,2,FALSE)</f>
        <v>V</v>
      </c>
      <c r="I94" t="str">
        <f>VLOOKUP(B:B,výpočty!$R$9:$S$11,2,FALSE)</f>
        <v>Y</v>
      </c>
      <c r="J94" t="str">
        <f>VLOOKUP(CHYBY!C:C,výpočty!$R$3:$S$7,2,FALSE)</f>
        <v>A</v>
      </c>
      <c r="K94" t="e">
        <f>VLOOKUP(D:D,výpočty!$W$3:$X$20,2,FALSE)</f>
        <v>#N/A</v>
      </c>
      <c r="L94" t="e">
        <f t="shared" si="3"/>
        <v>#N/A</v>
      </c>
      <c r="M94" t="str">
        <f t="shared" si="4"/>
        <v>Systemu TOP BASIC nie da się zastosować z ślimakiem roletowym. Zalecamy wybrać wersję TOP.</v>
      </c>
      <c r="N94">
        <f t="shared" si="5"/>
        <v>1</v>
      </c>
    </row>
    <row r="95" spans="1:14" ht="13.8" x14ac:dyDescent="0.3">
      <c r="A95" s="255" t="str">
        <f>výpočty!$R$14</f>
        <v>Pionowy (z góry na dół)</v>
      </c>
      <c r="B95" s="256" t="str">
        <f>výpočty!$R$10</f>
        <v>Do ślimaka roletowego</v>
      </c>
      <c r="C95" t="str">
        <f>výpočty!$R$3</f>
        <v>TOP Basic - wpuszczany do przykręcenia plastikowy</v>
      </c>
      <c r="D95" s="36">
        <f>výpočty!$W$18</f>
        <v>0</v>
      </c>
      <c r="E95" t="s">
        <v>2130</v>
      </c>
      <c r="F95">
        <v>1</v>
      </c>
      <c r="G95" t="str">
        <f>Překlady!$A$147</f>
        <v>Systemu TOP BASIC nie da się zastosować z ślimakiem roletowym. Zalecamy wybrać wersję TOP.</v>
      </c>
      <c r="H95" t="str">
        <f>VLOOKUP(A:A,výpočty!$R$14:$S$15,2,FALSE)</f>
        <v>V</v>
      </c>
      <c r="I95" t="str">
        <f>VLOOKUP(B:B,výpočty!$R$9:$S$11,2,FALSE)</f>
        <v>Y</v>
      </c>
      <c r="J95" t="str">
        <f>VLOOKUP(CHYBY!C:C,výpočty!$R$3:$S$7,2,FALSE)</f>
        <v>A</v>
      </c>
      <c r="K95" t="e">
        <f>VLOOKUP(D:D,výpočty!$W$3:$X$20,2,FALSE)</f>
        <v>#N/A</v>
      </c>
      <c r="L95" t="e">
        <f t="shared" si="3"/>
        <v>#N/A</v>
      </c>
      <c r="M95" t="str">
        <f t="shared" si="4"/>
        <v>Systemu TOP BASIC nie da się zastosować z ślimakiem roletowym. Zalecamy wybrać wersję TOP.</v>
      </c>
      <c r="N95">
        <f t="shared" si="5"/>
        <v>1</v>
      </c>
    </row>
    <row r="96" spans="1:14" ht="13.8" x14ac:dyDescent="0.3">
      <c r="A96" s="255" t="str">
        <f>výpočty!$R$14</f>
        <v>Pionowy (z góry na dół)</v>
      </c>
      <c r="B96" s="256" t="str">
        <f>výpočty!$R$10</f>
        <v>Do ślimaka roletowego</v>
      </c>
      <c r="C96" t="str">
        <f>výpočty!$R$3</f>
        <v>TOP Basic - wpuszczany do przykręcenia plastikowy</v>
      </c>
      <c r="D96" s="36" t="str">
        <f>výpočty!$W$19</f>
        <v>Aluminium szerokość 25 mm (metallic-line)</v>
      </c>
      <c r="E96" t="s">
        <v>2130</v>
      </c>
      <c r="F96">
        <v>1</v>
      </c>
      <c r="G96" t="str">
        <f>Překlady!$A$147</f>
        <v>Systemu TOP BASIC nie da się zastosować z ślimakiem roletowym. Zalecamy wybrać wersję TOP.</v>
      </c>
      <c r="H96" t="str">
        <f>VLOOKUP(A:A,výpočty!$R$14:$S$15,2,FALSE)</f>
        <v>V</v>
      </c>
      <c r="I96" t="str">
        <f>VLOOKUP(B:B,výpočty!$R$9:$S$11,2,FALSE)</f>
        <v>Y</v>
      </c>
      <c r="J96" t="str">
        <f>VLOOKUP(CHYBY!C:C,výpočty!$R$3:$S$7,2,FALSE)</f>
        <v>A</v>
      </c>
      <c r="K96">
        <f>VLOOKUP(D:D,výpočty!$W$3:$X$20,2,FALSE)</f>
        <v>17</v>
      </c>
      <c r="L96" t="str">
        <f t="shared" si="3"/>
        <v>VYA17</v>
      </c>
      <c r="M96" t="str">
        <f t="shared" si="4"/>
        <v>Systemu TOP BASIC nie da się zastosować z ślimakiem roletowym. Zalecamy wybrać wersję TOP.</v>
      </c>
      <c r="N96">
        <f t="shared" si="5"/>
        <v>1</v>
      </c>
    </row>
    <row r="97" spans="1:14" ht="14.4" thickBot="1" x14ac:dyDescent="0.35">
      <c r="A97" s="255" t="str">
        <f>výpočty!$R$14</f>
        <v>Pionowy (z góry na dół)</v>
      </c>
      <c r="B97" s="256" t="str">
        <f>výpočty!$R$10</f>
        <v>Do ślimaka roletowego</v>
      </c>
      <c r="C97" t="str">
        <f>výpočty!$R$3</f>
        <v>TOP Basic - wpuszczany do przykręcenia plastikowy</v>
      </c>
      <c r="D97" s="27" t="str">
        <f>výpočty!$W$20</f>
        <v>Nierdz. szerokość 25 mm (metallic-line)</v>
      </c>
      <c r="E97" t="s">
        <v>2130</v>
      </c>
      <c r="F97">
        <v>1</v>
      </c>
      <c r="G97" t="str">
        <f>Překlady!$A$147</f>
        <v>Systemu TOP BASIC nie da się zastosować z ślimakiem roletowym. Zalecamy wybrać wersję TOP.</v>
      </c>
      <c r="H97" t="str">
        <f>VLOOKUP(A:A,výpočty!$R$14:$S$15,2,FALSE)</f>
        <v>V</v>
      </c>
      <c r="I97" t="str">
        <f>VLOOKUP(B:B,výpočty!$R$9:$S$11,2,FALSE)</f>
        <v>Y</v>
      </c>
      <c r="J97" t="str">
        <f>VLOOKUP(CHYBY!C:C,výpočty!$R$3:$S$7,2,FALSE)</f>
        <v>A</v>
      </c>
      <c r="K97">
        <f>VLOOKUP(D:D,výpočty!$W$3:$X$20,2,FALSE)</f>
        <v>18</v>
      </c>
      <c r="L97" t="str">
        <f t="shared" si="3"/>
        <v>VYA18</v>
      </c>
      <c r="M97" t="str">
        <f t="shared" si="4"/>
        <v>Systemu TOP BASIC nie da się zastosować z ślimakiem roletowym. Zalecamy wybrać wersję TOP.</v>
      </c>
      <c r="N97">
        <f t="shared" si="5"/>
        <v>1</v>
      </c>
    </row>
    <row r="98" spans="1:14" ht="13.8" x14ac:dyDescent="0.3">
      <c r="A98" s="255" t="str">
        <f>výpočty!$R$14</f>
        <v>Pionowy (z góry na dół)</v>
      </c>
      <c r="B98" s="256" t="str">
        <f>výpočty!$R$10</f>
        <v>Do ślimaka roletowego</v>
      </c>
      <c r="C98" t="str">
        <f>výpočty!$R$4</f>
        <v>Classic - wpuszczany do zafrezowania</v>
      </c>
      <c r="D98" s="26" t="str">
        <f>výpočty!$W$3</f>
        <v>Czarny (E23)</v>
      </c>
      <c r="E98" t="s">
        <v>2129</v>
      </c>
      <c r="F98">
        <v>0</v>
      </c>
      <c r="G98" t="s">
        <v>2139</v>
      </c>
      <c r="H98" t="str">
        <f>VLOOKUP(A:A,výpočty!$R$14:$S$15,2,FALSE)</f>
        <v>V</v>
      </c>
      <c r="I98" t="str">
        <f>VLOOKUP(B:B,výpočty!$R$9:$S$11,2,FALSE)</f>
        <v>Y</v>
      </c>
      <c r="J98" t="str">
        <f>VLOOKUP(CHYBY!C:C,výpočty!$R$3:$S$7,2,FALSE)</f>
        <v>B</v>
      </c>
      <c r="K98">
        <f>VLOOKUP(D:D,výpočty!$W$3:$X$20,2,FALSE)</f>
        <v>1</v>
      </c>
      <c r="L98" t="str">
        <f t="shared" si="3"/>
        <v>VYB1</v>
      </c>
      <c r="M98" t="str">
        <f t="shared" si="4"/>
        <v/>
      </c>
      <c r="N98">
        <f t="shared" si="5"/>
        <v>0</v>
      </c>
    </row>
    <row r="99" spans="1:14" ht="13.8" x14ac:dyDescent="0.3">
      <c r="A99" s="255" t="str">
        <f>výpočty!$R$14</f>
        <v>Pionowy (z góry na dół)</v>
      </c>
      <c r="B99" s="256" t="str">
        <f>výpočty!$R$10</f>
        <v>Do ślimaka roletowego</v>
      </c>
      <c r="C99" t="str">
        <f>výpočty!$R$4</f>
        <v>Classic - wpuszczany do zafrezowania</v>
      </c>
      <c r="D99" s="36" t="str">
        <f>výpočty!$W$4</f>
        <v>Biały (E23)</v>
      </c>
      <c r="E99" t="s">
        <v>2129</v>
      </c>
      <c r="F99">
        <v>0</v>
      </c>
      <c r="G99" t="s">
        <v>2139</v>
      </c>
      <c r="H99" t="str">
        <f>VLOOKUP(A:A,výpočty!$R$14:$S$15,2,FALSE)</f>
        <v>V</v>
      </c>
      <c r="I99" t="str">
        <f>VLOOKUP(B:B,výpočty!$R$9:$S$11,2,FALSE)</f>
        <v>Y</v>
      </c>
      <c r="J99" t="str">
        <f>VLOOKUP(CHYBY!C:C,výpočty!$R$3:$S$7,2,FALSE)</f>
        <v>B</v>
      </c>
      <c r="K99">
        <f>VLOOKUP(D:D,výpočty!$W$3:$X$20,2,FALSE)</f>
        <v>2</v>
      </c>
      <c r="L99" t="str">
        <f t="shared" si="3"/>
        <v>VYB2</v>
      </c>
      <c r="M99" t="str">
        <f t="shared" si="4"/>
        <v/>
      </c>
      <c r="N99">
        <f t="shared" si="5"/>
        <v>0</v>
      </c>
    </row>
    <row r="100" spans="1:14" ht="13.8" x14ac:dyDescent="0.3">
      <c r="A100" s="255" t="str">
        <f>výpočty!$R$14</f>
        <v>Pionowy (z góry na dół)</v>
      </c>
      <c r="B100" s="256" t="str">
        <f>výpočty!$R$10</f>
        <v>Do ślimaka roletowego</v>
      </c>
      <c r="C100" t="str">
        <f>výpočty!$R$4</f>
        <v>Classic - wpuszczany do zafrezowania</v>
      </c>
      <c r="D100" s="36" t="str">
        <f>výpočty!$W$5</f>
        <v>Szary (E23)</v>
      </c>
      <c r="E100" t="s">
        <v>2129</v>
      </c>
      <c r="F100">
        <v>0</v>
      </c>
      <c r="G100" t="s">
        <v>2139</v>
      </c>
      <c r="H100" t="str">
        <f>VLOOKUP(A:A,výpočty!$R$14:$S$15,2,FALSE)</f>
        <v>V</v>
      </c>
      <c r="I100" t="str">
        <f>VLOOKUP(B:B,výpočty!$R$9:$S$11,2,FALSE)</f>
        <v>Y</v>
      </c>
      <c r="J100" t="str">
        <f>VLOOKUP(CHYBY!C:C,výpočty!$R$3:$S$7,2,FALSE)</f>
        <v>B</v>
      </c>
      <c r="K100">
        <f>VLOOKUP(D:D,výpočty!$W$3:$X$20,2,FALSE)</f>
        <v>3</v>
      </c>
      <c r="L100" t="str">
        <f t="shared" si="3"/>
        <v>VYB3</v>
      </c>
      <c r="M100" t="str">
        <f t="shared" si="4"/>
        <v/>
      </c>
      <c r="N100">
        <f t="shared" si="5"/>
        <v>0</v>
      </c>
    </row>
    <row r="101" spans="1:14" ht="13.8" x14ac:dyDescent="0.3">
      <c r="A101" s="255" t="str">
        <f>výpočty!$R$14</f>
        <v>Pionowy (z góry na dół)</v>
      </c>
      <c r="B101" s="256" t="str">
        <f>výpočty!$R$10</f>
        <v>Do ślimaka roletowego</v>
      </c>
      <c r="C101" t="str">
        <f>výpočty!$R$4</f>
        <v>Classic - wpuszczany do zafrezowania</v>
      </c>
      <c r="D101" s="36" t="str">
        <f>výpočty!$W$6</f>
        <v>Aluminowa plastik (E23)</v>
      </c>
      <c r="E101" t="s">
        <v>2129</v>
      </c>
      <c r="F101">
        <v>0</v>
      </c>
      <c r="G101" t="s">
        <v>2139</v>
      </c>
      <c r="H101" t="str">
        <f>VLOOKUP(A:A,výpočty!$R$14:$S$15,2,FALSE)</f>
        <v>V</v>
      </c>
      <c r="I101" t="str">
        <f>VLOOKUP(B:B,výpočty!$R$9:$S$11,2,FALSE)</f>
        <v>Y</v>
      </c>
      <c r="J101" t="str">
        <f>VLOOKUP(CHYBY!C:C,výpočty!$R$3:$S$7,2,FALSE)</f>
        <v>B</v>
      </c>
      <c r="K101">
        <f>VLOOKUP(D:D,výpočty!$W$3:$X$20,2,FALSE)</f>
        <v>4</v>
      </c>
      <c r="L101" t="str">
        <f t="shared" si="3"/>
        <v>VYB4</v>
      </c>
      <c r="M101" t="str">
        <f t="shared" si="4"/>
        <v/>
      </c>
      <c r="N101">
        <f t="shared" si="5"/>
        <v>0</v>
      </c>
    </row>
    <row r="102" spans="1:14" ht="13.8" x14ac:dyDescent="0.3">
      <c r="A102" s="255" t="str">
        <f>výpočty!$R$14</f>
        <v>Pionowy (z góry na dół)</v>
      </c>
      <c r="B102" s="256" t="str">
        <f>výpočty!$R$10</f>
        <v>Do ślimaka roletowego</v>
      </c>
      <c r="C102" t="str">
        <f>výpočty!$R$4</f>
        <v>Classic - wpuszczany do zafrezowania</v>
      </c>
      <c r="D102" s="36" t="str">
        <f>výpočty!$W$7</f>
        <v>Buk (E23)</v>
      </c>
      <c r="E102" t="s">
        <v>2129</v>
      </c>
      <c r="F102">
        <v>0</v>
      </c>
      <c r="G102" t="s">
        <v>2139</v>
      </c>
      <c r="H102" t="str">
        <f>VLOOKUP(A:A,výpočty!$R$14:$S$15,2,FALSE)</f>
        <v>V</v>
      </c>
      <c r="I102" t="str">
        <f>VLOOKUP(B:B,výpočty!$R$9:$S$11,2,FALSE)</f>
        <v>Y</v>
      </c>
      <c r="J102" t="str">
        <f>VLOOKUP(CHYBY!C:C,výpočty!$R$3:$S$7,2,FALSE)</f>
        <v>B</v>
      </c>
      <c r="K102">
        <f>VLOOKUP(D:D,výpočty!$W$3:$X$20,2,FALSE)</f>
        <v>5</v>
      </c>
      <c r="L102" t="str">
        <f t="shared" si="3"/>
        <v>VYB5</v>
      </c>
      <c r="M102" t="str">
        <f t="shared" si="4"/>
        <v/>
      </c>
      <c r="N102">
        <f t="shared" si="5"/>
        <v>0</v>
      </c>
    </row>
    <row r="103" spans="1:14" ht="13.8" x14ac:dyDescent="0.3">
      <c r="A103" s="255" t="str">
        <f>výpočty!$R$14</f>
        <v>Pionowy (z góry na dół)</v>
      </c>
      <c r="B103" s="256" t="str">
        <f>výpočty!$R$10</f>
        <v>Do ślimaka roletowego</v>
      </c>
      <c r="C103" t="str">
        <f>výpočty!$R$4</f>
        <v>Classic - wpuszczany do zafrezowania</v>
      </c>
      <c r="D103" s="36" t="str">
        <f>výpočty!$W$8</f>
        <v>Czereśnia (E23)</v>
      </c>
      <c r="E103" t="s">
        <v>2129</v>
      </c>
      <c r="F103">
        <v>0</v>
      </c>
      <c r="G103" t="s">
        <v>2139</v>
      </c>
      <c r="H103" t="str">
        <f>VLOOKUP(A:A,výpočty!$R$14:$S$15,2,FALSE)</f>
        <v>V</v>
      </c>
      <c r="I103" t="str">
        <f>VLOOKUP(B:B,výpočty!$R$9:$S$11,2,FALSE)</f>
        <v>Y</v>
      </c>
      <c r="J103" t="str">
        <f>VLOOKUP(CHYBY!C:C,výpočty!$R$3:$S$7,2,FALSE)</f>
        <v>B</v>
      </c>
      <c r="K103">
        <f>VLOOKUP(D:D,výpočty!$W$3:$X$20,2,FALSE)</f>
        <v>6</v>
      </c>
      <c r="L103" t="str">
        <f t="shared" si="3"/>
        <v>VYB6</v>
      </c>
      <c r="M103" t="str">
        <f t="shared" si="4"/>
        <v/>
      </c>
      <c r="N103">
        <f t="shared" si="5"/>
        <v>0</v>
      </c>
    </row>
    <row r="104" spans="1:14" ht="13.8" x14ac:dyDescent="0.3">
      <c r="A104" s="255" t="str">
        <f>výpočty!$R$14</f>
        <v>Pionowy (z góry na dół)</v>
      </c>
      <c r="B104" s="256" t="str">
        <f>výpočty!$R$10</f>
        <v>Do ślimaka roletowego</v>
      </c>
      <c r="C104" t="str">
        <f>výpočty!$R$4</f>
        <v>Classic - wpuszczany do zafrezowania</v>
      </c>
      <c r="D104" s="36" t="str">
        <f>výpočty!$W$9</f>
        <v>Klon (E23)</v>
      </c>
      <c r="E104" t="s">
        <v>2129</v>
      </c>
      <c r="F104">
        <v>0</v>
      </c>
      <c r="G104" t="s">
        <v>2139</v>
      </c>
      <c r="H104" t="str">
        <f>VLOOKUP(A:A,výpočty!$R$14:$S$15,2,FALSE)</f>
        <v>V</v>
      </c>
      <c r="I104" t="str">
        <f>VLOOKUP(B:B,výpočty!$R$9:$S$11,2,FALSE)</f>
        <v>Y</v>
      </c>
      <c r="J104" t="str">
        <f>VLOOKUP(CHYBY!C:C,výpočty!$R$3:$S$7,2,FALSE)</f>
        <v>B</v>
      </c>
      <c r="K104">
        <f>VLOOKUP(D:D,výpočty!$W$3:$X$20,2,FALSE)</f>
        <v>7</v>
      </c>
      <c r="L104" t="str">
        <f t="shared" si="3"/>
        <v>VYB7</v>
      </c>
      <c r="M104" t="str">
        <f t="shared" si="4"/>
        <v/>
      </c>
      <c r="N104">
        <f t="shared" si="5"/>
        <v>0</v>
      </c>
    </row>
    <row r="105" spans="1:14" ht="13.8" x14ac:dyDescent="0.3">
      <c r="A105" s="255" t="str">
        <f>výpočty!$R$14</f>
        <v>Pionowy (z góry na dół)</v>
      </c>
      <c r="B105" s="256" t="str">
        <f>výpočty!$R$10</f>
        <v>Do ślimaka roletowego</v>
      </c>
      <c r="C105" t="str">
        <f>výpočty!$R$4</f>
        <v>Classic - wpuszczany do zafrezowania</v>
      </c>
      <c r="D105" s="36" t="str">
        <f>výpočty!$W$10</f>
        <v>Brzoza (E23)</v>
      </c>
      <c r="E105" t="s">
        <v>2129</v>
      </c>
      <c r="F105">
        <v>0</v>
      </c>
      <c r="G105" t="s">
        <v>2139</v>
      </c>
      <c r="H105" t="str">
        <f>VLOOKUP(A:A,výpočty!$R$14:$S$15,2,FALSE)</f>
        <v>V</v>
      </c>
      <c r="I105" t="str">
        <f>VLOOKUP(B:B,výpočty!$R$9:$S$11,2,FALSE)</f>
        <v>Y</v>
      </c>
      <c r="J105" t="str">
        <f>VLOOKUP(CHYBY!C:C,výpočty!$R$3:$S$7,2,FALSE)</f>
        <v>B</v>
      </c>
      <c r="K105">
        <f>VLOOKUP(D:D,výpočty!$W$3:$X$20,2,FALSE)</f>
        <v>8</v>
      </c>
      <c r="L105" t="str">
        <f t="shared" si="3"/>
        <v>VYB8</v>
      </c>
      <c r="M105" t="str">
        <f t="shared" si="4"/>
        <v/>
      </c>
      <c r="N105">
        <f t="shared" si="5"/>
        <v>0</v>
      </c>
    </row>
    <row r="106" spans="1:14" ht="13.8" x14ac:dyDescent="0.3">
      <c r="A106" s="255" t="str">
        <f>výpočty!$R$14</f>
        <v>Pionowy (z góry na dół)</v>
      </c>
      <c r="B106" s="256" t="str">
        <f>výpočty!$R$10</f>
        <v>Do ślimaka roletowego</v>
      </c>
      <c r="C106" t="str">
        <f>výpočty!$R$4</f>
        <v>Classic - wpuszczany do zafrezowania</v>
      </c>
      <c r="D106" s="36" t="str">
        <f>výpočty!$W$11</f>
        <v>Czereśnia havana (E23)</v>
      </c>
      <c r="E106" t="s">
        <v>2129</v>
      </c>
      <c r="F106">
        <v>0</v>
      </c>
      <c r="G106" t="s">
        <v>2139</v>
      </c>
      <c r="H106" t="str">
        <f>VLOOKUP(A:A,výpočty!$R$14:$S$15,2,FALSE)</f>
        <v>V</v>
      </c>
      <c r="I106" t="str">
        <f>VLOOKUP(B:B,výpočty!$R$9:$S$11,2,FALSE)</f>
        <v>Y</v>
      </c>
      <c r="J106" t="str">
        <f>VLOOKUP(CHYBY!C:C,výpočty!$R$3:$S$7,2,FALSE)</f>
        <v>B</v>
      </c>
      <c r="K106">
        <f>VLOOKUP(D:D,výpočty!$W$3:$X$20,2,FALSE)</f>
        <v>9</v>
      </c>
      <c r="L106" t="str">
        <f t="shared" si="3"/>
        <v>VYB9</v>
      </c>
      <c r="M106" t="str">
        <f t="shared" si="4"/>
        <v/>
      </c>
      <c r="N106">
        <f t="shared" si="5"/>
        <v>0</v>
      </c>
    </row>
    <row r="107" spans="1:14" ht="13.8" x14ac:dyDescent="0.3">
      <c r="A107" s="255" t="str">
        <f>výpočty!$R$14</f>
        <v>Pionowy (z góry na dół)</v>
      </c>
      <c r="B107" s="256" t="str">
        <f>výpočty!$R$10</f>
        <v>Do ślimaka roletowego</v>
      </c>
      <c r="C107" t="str">
        <f>výpočty!$R$4</f>
        <v>Classic - wpuszczany do zafrezowania</v>
      </c>
      <c r="D107" s="36" t="str">
        <f>výpočty!$W$12</f>
        <v>Calvados (E23)</v>
      </c>
      <c r="E107" t="s">
        <v>2129</v>
      </c>
      <c r="F107">
        <v>0</v>
      </c>
      <c r="G107" t="s">
        <v>2139</v>
      </c>
      <c r="H107" t="str">
        <f>VLOOKUP(A:A,výpočty!$R$14:$S$15,2,FALSE)</f>
        <v>V</v>
      </c>
      <c r="I107" t="str">
        <f>VLOOKUP(B:B,výpočty!$R$9:$S$11,2,FALSE)</f>
        <v>Y</v>
      </c>
      <c r="J107" t="str">
        <f>VLOOKUP(CHYBY!C:C,výpočty!$R$3:$S$7,2,FALSE)</f>
        <v>B</v>
      </c>
      <c r="K107">
        <f>VLOOKUP(D:D,výpočty!$W$3:$X$20,2,FALSE)</f>
        <v>10</v>
      </c>
      <c r="L107" t="str">
        <f t="shared" si="3"/>
        <v>VYB10</v>
      </c>
      <c r="M107" t="str">
        <f t="shared" si="4"/>
        <v/>
      </c>
      <c r="N107">
        <f t="shared" si="5"/>
        <v>0</v>
      </c>
    </row>
    <row r="108" spans="1:14" ht="13.8" x14ac:dyDescent="0.3">
      <c r="A108" s="255" t="str">
        <f>výpočty!$R$14</f>
        <v>Pionowy (z góry na dół)</v>
      </c>
      <c r="B108" s="256" t="str">
        <f>výpočty!$R$10</f>
        <v>Do ślimaka roletowego</v>
      </c>
      <c r="C108" t="str">
        <f>výpočty!$R$4</f>
        <v>Classic - wpuszczany do zafrezowania</v>
      </c>
      <c r="D108" s="350" t="str">
        <f>výpočty!$W$14</f>
        <v>śnieżno biala mat (E9)</v>
      </c>
      <c r="E108" t="s">
        <v>2129</v>
      </c>
      <c r="F108">
        <v>0</v>
      </c>
      <c r="G108" t="s">
        <v>2139</v>
      </c>
      <c r="H108" t="str">
        <f>VLOOKUP(A:A,výpočty!$R$14:$S$15,2,FALSE)</f>
        <v>V</v>
      </c>
      <c r="I108" t="str">
        <f>VLOOKUP(B:B,výpočty!$R$9:$S$11,2,FALSE)</f>
        <v>Y</v>
      </c>
      <c r="J108" t="str">
        <f>VLOOKUP(CHYBY!C:C,výpočty!$R$3:$S$7,2,FALSE)</f>
        <v>B</v>
      </c>
      <c r="K108">
        <f>VLOOKUP(D:D,výpočty!$W$3:$X$20,2,FALSE)</f>
        <v>12</v>
      </c>
      <c r="L108" t="str">
        <f t="shared" si="3"/>
        <v>VYB12</v>
      </c>
      <c r="M108" t="str">
        <f t="shared" si="4"/>
        <v/>
      </c>
      <c r="N108">
        <f t="shared" si="5"/>
        <v>0</v>
      </c>
    </row>
    <row r="109" spans="1:14" ht="13.8" x14ac:dyDescent="0.3">
      <c r="A109" s="255" t="str">
        <f>výpočty!$R$14</f>
        <v>Pionowy (z góry na dół)</v>
      </c>
      <c r="B109" s="256" t="str">
        <f>výpočty!$R$10</f>
        <v>Do ślimaka roletowego</v>
      </c>
      <c r="C109" t="str">
        <f>výpočty!$R$4</f>
        <v>Classic - wpuszczany do zafrezowania</v>
      </c>
      <c r="D109" s="36" t="str">
        <f>výpočty!$W$15</f>
        <v>Aluminowa plastik (E4)</v>
      </c>
      <c r="E109" s="321" t="s">
        <v>2130</v>
      </c>
      <c r="F109" s="321">
        <v>1</v>
      </c>
      <c r="G109" s="321" t="str">
        <f>Překlady!$A$143</f>
        <v>Kolor aluminium plastik w profilu E4 jest idealny do poziomych rozwiązań w kombinacji z prowadzeniem Classic z systemem nawijania do tyłu</v>
      </c>
      <c r="H109" t="str">
        <f>VLOOKUP(A:A,výpočty!$R$14:$S$15,2,FALSE)</f>
        <v>V</v>
      </c>
      <c r="I109" t="str">
        <f>VLOOKUP(B:B,výpočty!$R$9:$S$11,2,FALSE)</f>
        <v>Y</v>
      </c>
      <c r="J109" t="str">
        <f>VLOOKUP(CHYBY!C:C,výpočty!$R$3:$S$7,2,FALSE)</f>
        <v>B</v>
      </c>
      <c r="K109">
        <f>VLOOKUP(D:D,výpočty!$W$3:$X$20,2,FALSE)</f>
        <v>13</v>
      </c>
      <c r="L109" t="str">
        <f t="shared" si="3"/>
        <v>VYB13</v>
      </c>
      <c r="M109" t="str">
        <f t="shared" si="4"/>
        <v>Kolor aluminium plastik w profilu E4 jest idealny do poziomych rozwiązań w kombinacji z prowadzeniem Classic z systemem nawijania do tyłu</v>
      </c>
      <c r="N109">
        <f t="shared" si="5"/>
        <v>1</v>
      </c>
    </row>
    <row r="110" spans="1:14" ht="13.8" x14ac:dyDescent="0.3">
      <c r="A110" s="255" t="str">
        <f>výpočty!$R$14</f>
        <v>Pionowy (z góry na dół)</v>
      </c>
      <c r="B110" s="256" t="str">
        <f>výpočty!$R$10</f>
        <v>Do ślimaka roletowego</v>
      </c>
      <c r="C110" t="str">
        <f>výpočty!$R$4</f>
        <v>Classic - wpuszczany do zafrezowania</v>
      </c>
      <c r="D110" s="36">
        <f>výpočty!$W$17</f>
        <v>0</v>
      </c>
      <c r="E110" s="321" t="s">
        <v>2129</v>
      </c>
      <c r="F110">
        <v>0</v>
      </c>
      <c r="G110" t="s">
        <v>2139</v>
      </c>
      <c r="H110" t="str">
        <f>VLOOKUP(A:A,výpočty!$R$14:$S$15,2,FALSE)</f>
        <v>V</v>
      </c>
      <c r="I110" t="str">
        <f>VLOOKUP(B:B,výpočty!$R$9:$S$11,2,FALSE)</f>
        <v>Y</v>
      </c>
      <c r="J110" t="str">
        <f>VLOOKUP(CHYBY!C:C,výpočty!$R$3:$S$7,2,FALSE)</f>
        <v>B</v>
      </c>
      <c r="K110" t="e">
        <f>VLOOKUP(D:D,výpočty!$W$3:$X$20,2,FALSE)</f>
        <v>#N/A</v>
      </c>
      <c r="L110" t="e">
        <f t="shared" si="3"/>
        <v>#N/A</v>
      </c>
      <c r="M110" t="str">
        <f t="shared" si="4"/>
        <v/>
      </c>
      <c r="N110">
        <f t="shared" si="5"/>
        <v>0</v>
      </c>
    </row>
    <row r="111" spans="1:14" ht="13.8" x14ac:dyDescent="0.3">
      <c r="A111" s="255" t="str">
        <f>výpočty!$R$14</f>
        <v>Pionowy (z góry na dół)</v>
      </c>
      <c r="B111" s="256" t="str">
        <f>výpočty!$R$10</f>
        <v>Do ślimaka roletowego</v>
      </c>
      <c r="C111" t="str">
        <f>výpočty!$R$4</f>
        <v>Classic - wpuszczany do zafrezowania</v>
      </c>
      <c r="D111" s="36">
        <f>výpočty!$W$18</f>
        <v>0</v>
      </c>
      <c r="E111" s="321" t="s">
        <v>2129</v>
      </c>
      <c r="F111">
        <v>0</v>
      </c>
      <c r="G111" t="s">
        <v>2139</v>
      </c>
      <c r="H111" t="str">
        <f>VLOOKUP(A:A,výpočty!$R$14:$S$15,2,FALSE)</f>
        <v>V</v>
      </c>
      <c r="I111" t="str">
        <f>VLOOKUP(B:B,výpočty!$R$9:$S$11,2,FALSE)</f>
        <v>Y</v>
      </c>
      <c r="J111" t="str">
        <f>VLOOKUP(CHYBY!C:C,výpočty!$R$3:$S$7,2,FALSE)</f>
        <v>B</v>
      </c>
      <c r="K111" t="e">
        <f>VLOOKUP(D:D,výpočty!$W$3:$X$20,2,FALSE)</f>
        <v>#N/A</v>
      </c>
      <c r="L111" t="e">
        <f t="shared" si="3"/>
        <v>#N/A</v>
      </c>
      <c r="M111" t="str">
        <f t="shared" si="4"/>
        <v/>
      </c>
      <c r="N111">
        <f t="shared" si="5"/>
        <v>0</v>
      </c>
    </row>
    <row r="112" spans="1:14" ht="13.8" x14ac:dyDescent="0.3">
      <c r="A112" s="255" t="str">
        <f>výpočty!$R$14</f>
        <v>Pionowy (z góry na dół)</v>
      </c>
      <c r="B112" s="256" t="str">
        <f>výpočty!$R$10</f>
        <v>Do ślimaka roletowego</v>
      </c>
      <c r="C112" t="str">
        <f>výpočty!$R$4</f>
        <v>Classic - wpuszczany do zafrezowania</v>
      </c>
      <c r="D112" s="36" t="str">
        <f>výpočty!$W$19</f>
        <v>Aluminium szerokość 25 mm (metallic-line)</v>
      </c>
      <c r="E112" s="321" t="s">
        <v>2129</v>
      </c>
      <c r="F112">
        <v>0</v>
      </c>
      <c r="G112" t="s">
        <v>2139</v>
      </c>
      <c r="H112" t="str">
        <f>VLOOKUP(A:A,výpočty!$R$14:$S$15,2,FALSE)</f>
        <v>V</v>
      </c>
      <c r="I112" t="str">
        <f>VLOOKUP(B:B,výpočty!$R$9:$S$11,2,FALSE)</f>
        <v>Y</v>
      </c>
      <c r="J112" t="str">
        <f>VLOOKUP(CHYBY!C:C,výpočty!$R$3:$S$7,2,FALSE)</f>
        <v>B</v>
      </c>
      <c r="K112">
        <f>VLOOKUP(D:D,výpočty!$W$3:$X$20,2,FALSE)</f>
        <v>17</v>
      </c>
      <c r="L112" t="str">
        <f t="shared" si="3"/>
        <v>VYB17</v>
      </c>
      <c r="M112" t="str">
        <f t="shared" si="4"/>
        <v/>
      </c>
      <c r="N112">
        <f t="shared" si="5"/>
        <v>0</v>
      </c>
    </row>
    <row r="113" spans="1:14" ht="14.4" thickBot="1" x14ac:dyDescent="0.35">
      <c r="A113" s="255" t="str">
        <f>výpočty!$R$14</f>
        <v>Pionowy (z góry na dół)</v>
      </c>
      <c r="B113" s="256" t="str">
        <f>výpočty!$R$10</f>
        <v>Do ślimaka roletowego</v>
      </c>
      <c r="C113" t="str">
        <f>výpočty!$R$4</f>
        <v>Classic - wpuszczany do zafrezowania</v>
      </c>
      <c r="D113" s="27" t="str">
        <f>výpočty!$W$20</f>
        <v>Nierdz. szerokość 25 mm (metallic-line)</v>
      </c>
      <c r="E113" s="321" t="s">
        <v>2129</v>
      </c>
      <c r="F113">
        <v>0</v>
      </c>
      <c r="G113" t="s">
        <v>2139</v>
      </c>
      <c r="H113" t="str">
        <f>VLOOKUP(A:A,výpočty!$R$14:$S$15,2,FALSE)</f>
        <v>V</v>
      </c>
      <c r="I113" t="str">
        <f>VLOOKUP(B:B,výpočty!$R$9:$S$11,2,FALSE)</f>
        <v>Y</v>
      </c>
      <c r="J113" t="str">
        <f>VLOOKUP(CHYBY!C:C,výpočty!$R$3:$S$7,2,FALSE)</f>
        <v>B</v>
      </c>
      <c r="K113">
        <f>VLOOKUP(D:D,výpočty!$W$3:$X$20,2,FALSE)</f>
        <v>18</v>
      </c>
      <c r="L113" t="str">
        <f t="shared" si="3"/>
        <v>VYB18</v>
      </c>
      <c r="M113" t="str">
        <f t="shared" si="4"/>
        <v/>
      </c>
      <c r="N113">
        <f t="shared" si="5"/>
        <v>0</v>
      </c>
    </row>
    <row r="114" spans="1:14" ht="13.8" x14ac:dyDescent="0.3">
      <c r="A114" s="255" t="str">
        <f>výpočty!$R$14</f>
        <v>Pionowy (z góry na dół)</v>
      </c>
      <c r="B114" s="256" t="str">
        <f>výpočty!$R$10</f>
        <v>Do ślimaka roletowego</v>
      </c>
      <c r="C114" t="str">
        <f>výpočty!$R$5</f>
        <v>Frame - nakładany z listwą maskującą</v>
      </c>
      <c r="D114" s="26" t="str">
        <f>výpočty!$W$3</f>
        <v>Czarny (E23)</v>
      </c>
      <c r="E114" t="s">
        <v>2129</v>
      </c>
      <c r="F114">
        <v>0</v>
      </c>
      <c r="G114" t="s">
        <v>2139</v>
      </c>
      <c r="H114" t="str">
        <f>VLOOKUP(A:A,výpočty!$R$14:$S$15,2,FALSE)</f>
        <v>V</v>
      </c>
      <c r="I114" t="str">
        <f>VLOOKUP(B:B,výpočty!$R$9:$S$11,2,FALSE)</f>
        <v>Y</v>
      </c>
      <c r="J114" t="str">
        <f>VLOOKUP(CHYBY!C:C,výpočty!$R$3:$S$7,2,FALSE)</f>
        <v>C</v>
      </c>
      <c r="K114">
        <f>VLOOKUP(D:D,výpočty!$W$3:$X$20,2,FALSE)</f>
        <v>1</v>
      </c>
      <c r="L114" t="str">
        <f t="shared" si="3"/>
        <v>VYC1</v>
      </c>
      <c r="M114" t="str">
        <f t="shared" si="4"/>
        <v/>
      </c>
      <c r="N114">
        <f t="shared" si="5"/>
        <v>0</v>
      </c>
    </row>
    <row r="115" spans="1:14" ht="13.8" x14ac:dyDescent="0.3">
      <c r="A115" s="255" t="str">
        <f>výpočty!$R$14</f>
        <v>Pionowy (z góry na dół)</v>
      </c>
      <c r="B115" s="256" t="str">
        <f>výpočty!$R$10</f>
        <v>Do ślimaka roletowego</v>
      </c>
      <c r="C115" t="str">
        <f>výpočty!$R$5</f>
        <v>Frame - nakładany z listwą maskującą</v>
      </c>
      <c r="D115" s="36" t="str">
        <f>výpočty!$W$4</f>
        <v>Biały (E23)</v>
      </c>
      <c r="E115" t="s">
        <v>2129</v>
      </c>
      <c r="F115">
        <v>0</v>
      </c>
      <c r="G115" t="s">
        <v>2139</v>
      </c>
      <c r="H115" t="str">
        <f>VLOOKUP(A:A,výpočty!$R$14:$S$15,2,FALSE)</f>
        <v>V</v>
      </c>
      <c r="I115" t="str">
        <f>VLOOKUP(B:B,výpočty!$R$9:$S$11,2,FALSE)</f>
        <v>Y</v>
      </c>
      <c r="J115" t="str">
        <f>VLOOKUP(CHYBY!C:C,výpočty!$R$3:$S$7,2,FALSE)</f>
        <v>C</v>
      </c>
      <c r="K115">
        <f>VLOOKUP(D:D,výpočty!$W$3:$X$20,2,FALSE)</f>
        <v>2</v>
      </c>
      <c r="L115" t="str">
        <f t="shared" si="3"/>
        <v>VYC2</v>
      </c>
      <c r="M115" t="str">
        <f t="shared" si="4"/>
        <v/>
      </c>
      <c r="N115">
        <f t="shared" si="5"/>
        <v>0</v>
      </c>
    </row>
    <row r="116" spans="1:14" ht="13.8" x14ac:dyDescent="0.3">
      <c r="A116" s="255" t="str">
        <f>výpočty!$R$14</f>
        <v>Pionowy (z góry na dół)</v>
      </c>
      <c r="B116" s="256" t="str">
        <f>výpočty!$R$10</f>
        <v>Do ślimaka roletowego</v>
      </c>
      <c r="C116" t="str">
        <f>výpočty!$R$5</f>
        <v>Frame - nakładany z listwą maskującą</v>
      </c>
      <c r="D116" s="36" t="str">
        <f>výpočty!$W$5</f>
        <v>Szary (E23)</v>
      </c>
      <c r="E116" t="s">
        <v>2129</v>
      </c>
      <c r="F116">
        <v>0</v>
      </c>
      <c r="G116" t="s">
        <v>2139</v>
      </c>
      <c r="H116" t="str">
        <f>VLOOKUP(A:A,výpočty!$R$14:$S$15,2,FALSE)</f>
        <v>V</v>
      </c>
      <c r="I116" t="str">
        <f>VLOOKUP(B:B,výpočty!$R$9:$S$11,2,FALSE)</f>
        <v>Y</v>
      </c>
      <c r="J116" t="str">
        <f>VLOOKUP(CHYBY!C:C,výpočty!$R$3:$S$7,2,FALSE)</f>
        <v>C</v>
      </c>
      <c r="K116">
        <f>VLOOKUP(D:D,výpočty!$W$3:$X$20,2,FALSE)</f>
        <v>3</v>
      </c>
      <c r="L116" t="str">
        <f t="shared" si="3"/>
        <v>VYC3</v>
      </c>
      <c r="M116" t="str">
        <f t="shared" si="4"/>
        <v/>
      </c>
      <c r="N116">
        <f t="shared" si="5"/>
        <v>0</v>
      </c>
    </row>
    <row r="117" spans="1:14" ht="13.8" x14ac:dyDescent="0.3">
      <c r="A117" s="255" t="str">
        <f>výpočty!$R$14</f>
        <v>Pionowy (z góry na dół)</v>
      </c>
      <c r="B117" s="256" t="str">
        <f>výpočty!$R$10</f>
        <v>Do ślimaka roletowego</v>
      </c>
      <c r="C117" t="str">
        <f>výpočty!$R$5</f>
        <v>Frame - nakładany z listwą maskującą</v>
      </c>
      <c r="D117" s="36" t="str">
        <f>výpočty!$W$6</f>
        <v>Aluminowa plastik (E23)</v>
      </c>
      <c r="E117" t="s">
        <v>2129</v>
      </c>
      <c r="F117">
        <v>0</v>
      </c>
      <c r="G117" t="s">
        <v>2139</v>
      </c>
      <c r="H117" t="str">
        <f>VLOOKUP(A:A,výpočty!$R$14:$S$15,2,FALSE)</f>
        <v>V</v>
      </c>
      <c r="I117" t="str">
        <f>VLOOKUP(B:B,výpočty!$R$9:$S$11,2,FALSE)</f>
        <v>Y</v>
      </c>
      <c r="J117" t="str">
        <f>VLOOKUP(CHYBY!C:C,výpočty!$R$3:$S$7,2,FALSE)</f>
        <v>C</v>
      </c>
      <c r="K117">
        <f>VLOOKUP(D:D,výpočty!$W$3:$X$20,2,FALSE)</f>
        <v>4</v>
      </c>
      <c r="L117" t="str">
        <f t="shared" si="3"/>
        <v>VYC4</v>
      </c>
      <c r="M117" t="str">
        <f t="shared" si="4"/>
        <v/>
      </c>
      <c r="N117">
        <f t="shared" si="5"/>
        <v>0</v>
      </c>
    </row>
    <row r="118" spans="1:14" ht="13.8" x14ac:dyDescent="0.3">
      <c r="A118" s="255" t="str">
        <f>výpočty!$R$14</f>
        <v>Pionowy (z góry na dół)</v>
      </c>
      <c r="B118" s="256" t="str">
        <f>výpočty!$R$10</f>
        <v>Do ślimaka roletowego</v>
      </c>
      <c r="C118" t="str">
        <f>výpočty!$R$5</f>
        <v>Frame - nakładany z listwą maskującą</v>
      </c>
      <c r="D118" s="36" t="str">
        <f>výpočty!$W$7</f>
        <v>Buk (E23)</v>
      </c>
      <c r="E118" t="s">
        <v>2130</v>
      </c>
      <c r="F118">
        <v>1</v>
      </c>
      <c r="G118" s="321" t="str">
        <f>Překlady!$A$145</f>
        <v>Koloru BUK w profilu E23 nie da się łączyć z prowadzeniem FRAME.</v>
      </c>
      <c r="H118" t="str">
        <f>VLOOKUP(A:A,výpočty!$R$14:$S$15,2,FALSE)</f>
        <v>V</v>
      </c>
      <c r="I118" t="str">
        <f>VLOOKUP(B:B,výpočty!$R$9:$S$11,2,FALSE)</f>
        <v>Y</v>
      </c>
      <c r="J118" t="str">
        <f>VLOOKUP(CHYBY!C:C,výpočty!$R$3:$S$7,2,FALSE)</f>
        <v>C</v>
      </c>
      <c r="K118">
        <f>VLOOKUP(D:D,výpočty!$W$3:$X$20,2,FALSE)</f>
        <v>5</v>
      </c>
      <c r="L118" t="str">
        <f t="shared" si="3"/>
        <v>VYC5</v>
      </c>
      <c r="M118" t="str">
        <f t="shared" si="4"/>
        <v>Koloru BUK w profilu E23 nie da się łączyć z prowadzeniem FRAME.</v>
      </c>
      <c r="N118">
        <f t="shared" si="5"/>
        <v>1</v>
      </c>
    </row>
    <row r="119" spans="1:14" ht="13.8" x14ac:dyDescent="0.3">
      <c r="A119" s="255" t="str">
        <f>výpočty!$R$14</f>
        <v>Pionowy (z góry na dół)</v>
      </c>
      <c r="B119" s="256" t="str">
        <f>výpočty!$R$10</f>
        <v>Do ślimaka roletowego</v>
      </c>
      <c r="C119" t="str">
        <f>výpočty!$R$5</f>
        <v>Frame - nakładany z listwą maskującą</v>
      </c>
      <c r="D119" s="36" t="str">
        <f>výpočty!$W$8</f>
        <v>Czereśnia (E23)</v>
      </c>
      <c r="E119" t="s">
        <v>2129</v>
      </c>
      <c r="F119">
        <v>1</v>
      </c>
      <c r="G119" t="str">
        <f>Překlady!$A$176</f>
        <v>Koloru Czereśnia w profilu E23 nie da się łączyć z prowadzeniem FRAME.</v>
      </c>
      <c r="H119" t="str">
        <f>VLOOKUP(A:A,výpočty!$R$14:$S$15,2,FALSE)</f>
        <v>V</v>
      </c>
      <c r="I119" t="str">
        <f>VLOOKUP(B:B,výpočty!$R$9:$S$11,2,FALSE)</f>
        <v>Y</v>
      </c>
      <c r="J119" t="str">
        <f>VLOOKUP(CHYBY!C:C,výpočty!$R$3:$S$7,2,FALSE)</f>
        <v>C</v>
      </c>
      <c r="K119">
        <f>VLOOKUP(D:D,výpočty!$W$3:$X$20,2,FALSE)</f>
        <v>6</v>
      </c>
      <c r="L119" t="str">
        <f t="shared" si="3"/>
        <v>VYC6</v>
      </c>
      <c r="M119" t="str">
        <f t="shared" si="4"/>
        <v>Koloru Czereśnia w profilu E23 nie da się łączyć z prowadzeniem FRAME.</v>
      </c>
      <c r="N119">
        <f t="shared" si="5"/>
        <v>1</v>
      </c>
    </row>
    <row r="120" spans="1:14" ht="13.8" x14ac:dyDescent="0.3">
      <c r="A120" s="255" t="str">
        <f>výpočty!$R$14</f>
        <v>Pionowy (z góry na dół)</v>
      </c>
      <c r="B120" s="256" t="str">
        <f>výpočty!$R$10</f>
        <v>Do ślimaka roletowego</v>
      </c>
      <c r="C120" t="str">
        <f>výpočty!$R$5</f>
        <v>Frame - nakładany z listwą maskującą</v>
      </c>
      <c r="D120" s="36" t="str">
        <f>výpočty!$W$9</f>
        <v>Klon (E23)</v>
      </c>
      <c r="E120" t="s">
        <v>2129</v>
      </c>
      <c r="F120">
        <v>1</v>
      </c>
      <c r="G120" t="str">
        <f>Překlady!$A$177</f>
        <v>Koloru Klon w profilu E23 nie da się łączyć z prowadzeniem FRAME.</v>
      </c>
      <c r="H120" t="str">
        <f>VLOOKUP(A:A,výpočty!$R$14:$S$15,2,FALSE)</f>
        <v>V</v>
      </c>
      <c r="I120" t="str">
        <f>VLOOKUP(B:B,výpočty!$R$9:$S$11,2,FALSE)</f>
        <v>Y</v>
      </c>
      <c r="J120" t="str">
        <f>VLOOKUP(CHYBY!C:C,výpočty!$R$3:$S$7,2,FALSE)</f>
        <v>C</v>
      </c>
      <c r="K120">
        <f>VLOOKUP(D:D,výpočty!$W$3:$X$20,2,FALSE)</f>
        <v>7</v>
      </c>
      <c r="L120" t="str">
        <f t="shared" si="3"/>
        <v>VYC7</v>
      </c>
      <c r="M120" t="str">
        <f t="shared" si="4"/>
        <v>Koloru Klon w profilu E23 nie da się łączyć z prowadzeniem FRAME.</v>
      </c>
      <c r="N120">
        <f t="shared" si="5"/>
        <v>1</v>
      </c>
    </row>
    <row r="121" spans="1:14" ht="13.8" x14ac:dyDescent="0.3">
      <c r="A121" s="255" t="str">
        <f>výpočty!$R$14</f>
        <v>Pionowy (z góry na dół)</v>
      </c>
      <c r="B121" s="256" t="str">
        <f>výpočty!$R$10</f>
        <v>Do ślimaka roletowego</v>
      </c>
      <c r="C121" t="str">
        <f>výpočty!$R$5</f>
        <v>Frame - nakładany z listwą maskującą</v>
      </c>
      <c r="D121" s="36" t="str">
        <f>výpočty!$W$10</f>
        <v>Brzoza (E23)</v>
      </c>
      <c r="E121" t="s">
        <v>2129</v>
      </c>
      <c r="F121">
        <v>1</v>
      </c>
      <c r="G121" t="str">
        <f>Překlady!$A$175</f>
        <v>Koloru Brzoza w profilu E23 nie da się łączyć z prowadzeniem FRAME.</v>
      </c>
      <c r="H121" t="str">
        <f>VLOOKUP(A:A,výpočty!$R$14:$S$15,2,FALSE)</f>
        <v>V</v>
      </c>
      <c r="I121" t="str">
        <f>VLOOKUP(B:B,výpočty!$R$9:$S$11,2,FALSE)</f>
        <v>Y</v>
      </c>
      <c r="J121" t="str">
        <f>VLOOKUP(CHYBY!C:C,výpočty!$R$3:$S$7,2,FALSE)</f>
        <v>C</v>
      </c>
      <c r="K121">
        <f>VLOOKUP(D:D,výpočty!$W$3:$X$20,2,FALSE)</f>
        <v>8</v>
      </c>
      <c r="L121" t="str">
        <f t="shared" si="3"/>
        <v>VYC8</v>
      </c>
      <c r="M121" t="str">
        <f t="shared" si="4"/>
        <v>Koloru Brzoza w profilu E23 nie da się łączyć z prowadzeniem FRAME.</v>
      </c>
      <c r="N121">
        <f t="shared" si="5"/>
        <v>1</v>
      </c>
    </row>
    <row r="122" spans="1:14" ht="13.8" x14ac:dyDescent="0.3">
      <c r="A122" s="255" t="str">
        <f>výpočty!$R$14</f>
        <v>Pionowy (z góry na dół)</v>
      </c>
      <c r="B122" s="256" t="str">
        <f>výpočty!$R$10</f>
        <v>Do ślimaka roletowego</v>
      </c>
      <c r="C122" t="str">
        <f>výpočty!$R$5</f>
        <v>Frame - nakładany z listwą maskującą</v>
      </c>
      <c r="D122" s="36" t="str">
        <f>výpočty!$W$11</f>
        <v>Czereśnia havana (E23)</v>
      </c>
      <c r="E122" t="s">
        <v>2129</v>
      </c>
      <c r="F122">
        <v>1</v>
      </c>
      <c r="G122" t="str">
        <f>Překlady!$A$170</f>
        <v>Koloru Czereśnia havana w profilu E23 nie da się łączyć z prowadzeniem FRAME.</v>
      </c>
      <c r="H122" t="str">
        <f>VLOOKUP(A:A,výpočty!$R$14:$S$15,2,FALSE)</f>
        <v>V</v>
      </c>
      <c r="I122" t="str">
        <f>VLOOKUP(B:B,výpočty!$R$9:$S$11,2,FALSE)</f>
        <v>Y</v>
      </c>
      <c r="J122" t="str">
        <f>VLOOKUP(CHYBY!C:C,výpočty!$R$3:$S$7,2,FALSE)</f>
        <v>C</v>
      </c>
      <c r="K122">
        <f>VLOOKUP(D:D,výpočty!$W$3:$X$20,2,FALSE)</f>
        <v>9</v>
      </c>
      <c r="L122" t="str">
        <f t="shared" si="3"/>
        <v>VYC9</v>
      </c>
      <c r="M122" t="str">
        <f t="shared" si="4"/>
        <v>Koloru Czereśnia havana w profilu E23 nie da się łączyć z prowadzeniem FRAME.</v>
      </c>
      <c r="N122">
        <f t="shared" si="5"/>
        <v>1</v>
      </c>
    </row>
    <row r="123" spans="1:14" ht="13.8" x14ac:dyDescent="0.3">
      <c r="A123" s="255" t="str">
        <f>výpočty!$R$14</f>
        <v>Pionowy (z góry na dół)</v>
      </c>
      <c r="B123" s="256" t="str">
        <f>výpočty!$R$10</f>
        <v>Do ślimaka roletowego</v>
      </c>
      <c r="C123" t="str">
        <f>výpočty!$R$5</f>
        <v>Frame - nakładany z listwą maskującą</v>
      </c>
      <c r="D123" s="36" t="str">
        <f>výpočty!$W$12</f>
        <v>Calvados (E23)</v>
      </c>
      <c r="E123" t="s">
        <v>2129</v>
      </c>
      <c r="F123">
        <v>0</v>
      </c>
      <c r="G123" t="s">
        <v>2139</v>
      </c>
      <c r="H123" t="str">
        <f>VLOOKUP(A:A,výpočty!$R$14:$S$15,2,FALSE)</f>
        <v>V</v>
      </c>
      <c r="I123" t="str">
        <f>VLOOKUP(B:B,výpočty!$R$9:$S$11,2,FALSE)</f>
        <v>Y</v>
      </c>
      <c r="J123" t="str">
        <f>VLOOKUP(CHYBY!C:C,výpočty!$R$3:$S$7,2,FALSE)</f>
        <v>C</v>
      </c>
      <c r="K123">
        <f>VLOOKUP(D:D,výpočty!$W$3:$X$20,2,FALSE)</f>
        <v>10</v>
      </c>
      <c r="L123" t="str">
        <f t="shared" si="3"/>
        <v>VYC10</v>
      </c>
      <c r="M123" t="str">
        <f t="shared" si="4"/>
        <v/>
      </c>
      <c r="N123">
        <f t="shared" si="5"/>
        <v>0</v>
      </c>
    </row>
    <row r="124" spans="1:14" ht="13.8" x14ac:dyDescent="0.3">
      <c r="A124" s="255" t="str">
        <f>výpočty!$R$14</f>
        <v>Pionowy (z góry na dół)</v>
      </c>
      <c r="B124" s="256" t="str">
        <f>výpočty!$R$10</f>
        <v>Do ślimaka roletowego</v>
      </c>
      <c r="C124" t="str">
        <f>výpočty!$R$5</f>
        <v>Frame - nakładany z listwą maskującą</v>
      </c>
      <c r="D124" s="36" t="str">
        <f>výpočty!$W$14</f>
        <v>śnieżno biala mat (E9)</v>
      </c>
      <c r="E124" s="321" t="s">
        <v>2130</v>
      </c>
      <c r="F124" s="321">
        <v>1</v>
      </c>
      <c r="G124" s="321" t="str">
        <f>Překlady!$A$142</f>
        <v>Kolor śnieżno biały w profilu E9 można łączyć jedynie z prowadzeniem Classic i systemem nawijania do tyłu</v>
      </c>
      <c r="H124" t="str">
        <f>VLOOKUP(A:A,výpočty!$R$14:$S$15,2,FALSE)</f>
        <v>V</v>
      </c>
      <c r="I124" t="str">
        <f>VLOOKUP(B:B,výpočty!$R$9:$S$11,2,FALSE)</f>
        <v>Y</v>
      </c>
      <c r="J124" t="str">
        <f>VLOOKUP(CHYBY!C:C,výpočty!$R$3:$S$7,2,FALSE)</f>
        <v>C</v>
      </c>
      <c r="K124">
        <f>VLOOKUP(D:D,výpočty!$W$3:$X$20,2,FALSE)</f>
        <v>12</v>
      </c>
      <c r="L124" t="str">
        <f t="shared" si="3"/>
        <v>VYC12</v>
      </c>
      <c r="M124" t="str">
        <f t="shared" si="4"/>
        <v>Kolor śnieżno biały w profilu E9 można łączyć jedynie z prowadzeniem Classic i systemem nawijania do tyłu</v>
      </c>
      <c r="N124">
        <f t="shared" si="5"/>
        <v>1</v>
      </c>
    </row>
    <row r="125" spans="1:14" ht="13.8" x14ac:dyDescent="0.3">
      <c r="A125" s="255" t="str">
        <f>výpočty!$R$14</f>
        <v>Pionowy (z góry na dół)</v>
      </c>
      <c r="B125" s="256" t="str">
        <f>výpočty!$R$10</f>
        <v>Do ślimaka roletowego</v>
      </c>
      <c r="C125" t="str">
        <f>výpočty!$R$5</f>
        <v>Frame - nakładany z listwą maskującą</v>
      </c>
      <c r="D125" s="36" t="str">
        <f>výpočty!$W$15</f>
        <v>Aluminowa plastik (E4)</v>
      </c>
      <c r="E125" t="s">
        <v>2130</v>
      </c>
      <c r="F125">
        <v>1</v>
      </c>
      <c r="G125" s="321" t="str">
        <f>Překlady!$A$143</f>
        <v>Kolor aluminium plastik w profilu E4 jest idealny do poziomych rozwiązań w kombinacji z prowadzeniem Classic z systemem nawijania do tyłu</v>
      </c>
      <c r="H125" t="str">
        <f>VLOOKUP(A:A,výpočty!$R$14:$S$15,2,FALSE)</f>
        <v>V</v>
      </c>
      <c r="I125" t="str">
        <f>VLOOKUP(B:B,výpočty!$R$9:$S$11,2,FALSE)</f>
        <v>Y</v>
      </c>
      <c r="J125" t="str">
        <f>VLOOKUP(CHYBY!C:C,výpočty!$R$3:$S$7,2,FALSE)</f>
        <v>C</v>
      </c>
      <c r="K125">
        <f>VLOOKUP(D:D,výpočty!$W$3:$X$20,2,FALSE)</f>
        <v>13</v>
      </c>
      <c r="L125" t="str">
        <f t="shared" si="3"/>
        <v>VYC13</v>
      </c>
      <c r="M125" t="str">
        <f t="shared" si="4"/>
        <v>Kolor aluminium plastik w profilu E4 jest idealny do poziomych rozwiązań w kombinacji z prowadzeniem Classic z systemem nawijania do tyłu</v>
      </c>
      <c r="N125">
        <f t="shared" si="5"/>
        <v>1</v>
      </c>
    </row>
    <row r="126" spans="1:14" ht="13.8" x14ac:dyDescent="0.3">
      <c r="A126" s="255" t="str">
        <f>výpočty!$R$14</f>
        <v>Pionowy (z góry na dół)</v>
      </c>
      <c r="B126" s="256" t="str">
        <f>výpočty!$R$10</f>
        <v>Do ślimaka roletowego</v>
      </c>
      <c r="C126" t="str">
        <f>výpočty!$R$5</f>
        <v>Frame - nakładany z listwą maskującą</v>
      </c>
      <c r="D126" s="36">
        <f>výpočty!$W$17</f>
        <v>0</v>
      </c>
      <c r="E126" t="s">
        <v>2129</v>
      </c>
      <c r="F126">
        <v>0</v>
      </c>
      <c r="G126" t="s">
        <v>2139</v>
      </c>
      <c r="H126" t="str">
        <f>VLOOKUP(A:A,výpočty!$R$14:$S$15,2,FALSE)</f>
        <v>V</v>
      </c>
      <c r="I126" t="str">
        <f>VLOOKUP(B:B,výpočty!$R$9:$S$11,2,FALSE)</f>
        <v>Y</v>
      </c>
      <c r="J126" t="str">
        <f>VLOOKUP(CHYBY!C:C,výpočty!$R$3:$S$7,2,FALSE)</f>
        <v>C</v>
      </c>
      <c r="K126" t="e">
        <f>VLOOKUP(D:D,výpočty!$W$3:$X$20,2,FALSE)</f>
        <v>#N/A</v>
      </c>
      <c r="L126" t="e">
        <f t="shared" si="3"/>
        <v>#N/A</v>
      </c>
      <c r="M126" t="str">
        <f t="shared" si="4"/>
        <v/>
      </c>
      <c r="N126">
        <f t="shared" si="5"/>
        <v>0</v>
      </c>
    </row>
    <row r="127" spans="1:14" ht="13.8" x14ac:dyDescent="0.3">
      <c r="A127" s="255" t="str">
        <f>výpočty!$R$14</f>
        <v>Pionowy (z góry na dół)</v>
      </c>
      <c r="B127" s="256" t="str">
        <f>výpočty!$R$10</f>
        <v>Do ślimaka roletowego</v>
      </c>
      <c r="C127" t="str">
        <f>výpočty!$R$5</f>
        <v>Frame - nakładany z listwą maskującą</v>
      </c>
      <c r="D127" s="36">
        <f>výpočty!$W$18</f>
        <v>0</v>
      </c>
      <c r="E127" t="s">
        <v>2129</v>
      </c>
      <c r="F127">
        <v>0</v>
      </c>
      <c r="G127" t="s">
        <v>2139</v>
      </c>
      <c r="H127" t="str">
        <f>VLOOKUP(A:A,výpočty!$R$14:$S$15,2,FALSE)</f>
        <v>V</v>
      </c>
      <c r="I127" t="str">
        <f>VLOOKUP(B:B,výpočty!$R$9:$S$11,2,FALSE)</f>
        <v>Y</v>
      </c>
      <c r="J127" t="str">
        <f>VLOOKUP(CHYBY!C:C,výpočty!$R$3:$S$7,2,FALSE)</f>
        <v>C</v>
      </c>
      <c r="K127" t="e">
        <f>VLOOKUP(D:D,výpočty!$W$3:$X$20,2,FALSE)</f>
        <v>#N/A</v>
      </c>
      <c r="L127" t="e">
        <f t="shared" si="3"/>
        <v>#N/A</v>
      </c>
      <c r="M127" t="str">
        <f t="shared" si="4"/>
        <v/>
      </c>
      <c r="N127">
        <f t="shared" si="5"/>
        <v>0</v>
      </c>
    </row>
    <row r="128" spans="1:14" ht="13.8" x14ac:dyDescent="0.3">
      <c r="A128" s="255" t="str">
        <f>výpočty!$R$14</f>
        <v>Pionowy (z góry na dół)</v>
      </c>
      <c r="B128" s="256" t="str">
        <f>výpočty!$R$10</f>
        <v>Do ślimaka roletowego</v>
      </c>
      <c r="C128" t="str">
        <f>výpočty!$R$5</f>
        <v>Frame - nakładany z listwą maskującą</v>
      </c>
      <c r="D128" s="36" t="str">
        <f>výpočty!$W$19</f>
        <v>Aluminium szerokość 25 mm (metallic-line)</v>
      </c>
      <c r="E128" t="s">
        <v>2129</v>
      </c>
      <c r="F128">
        <v>0</v>
      </c>
      <c r="G128" t="s">
        <v>2139</v>
      </c>
      <c r="H128" t="str">
        <f>VLOOKUP(A:A,výpočty!$R$14:$S$15,2,FALSE)</f>
        <v>V</v>
      </c>
      <c r="I128" t="str">
        <f>VLOOKUP(B:B,výpočty!$R$9:$S$11,2,FALSE)</f>
        <v>Y</v>
      </c>
      <c r="J128" t="str">
        <f>VLOOKUP(CHYBY!C:C,výpočty!$R$3:$S$7,2,FALSE)</f>
        <v>C</v>
      </c>
      <c r="K128">
        <f>VLOOKUP(D:D,výpočty!$W$3:$X$20,2,FALSE)</f>
        <v>17</v>
      </c>
      <c r="L128" t="str">
        <f t="shared" si="3"/>
        <v>VYC17</v>
      </c>
      <c r="M128" t="str">
        <f t="shared" si="4"/>
        <v/>
      </c>
      <c r="N128">
        <f t="shared" si="5"/>
        <v>0</v>
      </c>
    </row>
    <row r="129" spans="1:14" ht="14.4" thickBot="1" x14ac:dyDescent="0.35">
      <c r="A129" s="255" t="str">
        <f>výpočty!$R$14</f>
        <v>Pionowy (z góry na dół)</v>
      </c>
      <c r="B129" s="256" t="str">
        <f>výpočty!$R$10</f>
        <v>Do ślimaka roletowego</v>
      </c>
      <c r="C129" t="str">
        <f>výpočty!$R$5</f>
        <v>Frame - nakładany z listwą maskującą</v>
      </c>
      <c r="D129" s="27" t="str">
        <f>výpočty!$W$20</f>
        <v>Nierdz. szerokość 25 mm (metallic-line)</v>
      </c>
      <c r="E129" t="s">
        <v>2129</v>
      </c>
      <c r="F129">
        <v>0</v>
      </c>
      <c r="G129" t="s">
        <v>2139</v>
      </c>
      <c r="H129" t="str">
        <f>VLOOKUP(A:A,výpočty!$R$14:$S$15,2,FALSE)</f>
        <v>V</v>
      </c>
      <c r="I129" t="str">
        <f>VLOOKUP(B:B,výpočty!$R$9:$S$11,2,FALSE)</f>
        <v>Y</v>
      </c>
      <c r="J129" t="str">
        <f>VLOOKUP(CHYBY!C:C,výpočty!$R$3:$S$7,2,FALSE)</f>
        <v>C</v>
      </c>
      <c r="K129">
        <f>VLOOKUP(D:D,výpočty!$W$3:$X$20,2,FALSE)</f>
        <v>18</v>
      </c>
      <c r="L129" t="str">
        <f t="shared" si="3"/>
        <v>VYC18</v>
      </c>
      <c r="M129" t="str">
        <f t="shared" si="4"/>
        <v/>
      </c>
      <c r="N129">
        <f t="shared" si="5"/>
        <v>0</v>
      </c>
    </row>
    <row r="130" spans="1:14" ht="13.8" x14ac:dyDescent="0.3">
      <c r="A130" s="255" t="str">
        <f>výpočty!$R$14</f>
        <v>Pionowy (z góry na dół)</v>
      </c>
      <c r="B130" s="256" t="str">
        <f>výpočty!$R$10</f>
        <v>Do ślimaka roletowego</v>
      </c>
      <c r="C130" t="str">
        <f>výpočty!$R$6</f>
        <v>TOP - wpuszczany do przykręcenia metalowy z listwą maskującą</v>
      </c>
      <c r="D130" s="26" t="str">
        <f>výpočty!$W$3</f>
        <v>Czarny (E23)</v>
      </c>
      <c r="E130" t="s">
        <v>2129</v>
      </c>
      <c r="F130">
        <v>0</v>
      </c>
      <c r="G130" t="s">
        <v>2139</v>
      </c>
      <c r="H130" t="str">
        <f>VLOOKUP(A:A,výpočty!$R$14:$S$15,2,FALSE)</f>
        <v>V</v>
      </c>
      <c r="I130" t="str">
        <f>VLOOKUP(B:B,výpočty!$R$9:$S$11,2,FALSE)</f>
        <v>Y</v>
      </c>
      <c r="J130" t="str">
        <f>VLOOKUP(CHYBY!C:C,výpočty!$R$3:$S$7,2,FALSE)</f>
        <v>D</v>
      </c>
      <c r="K130">
        <f>VLOOKUP(D:D,výpočty!$W$3:$X$20,2,FALSE)</f>
        <v>1</v>
      </c>
      <c r="L130" t="str">
        <f t="shared" si="3"/>
        <v>VYD1</v>
      </c>
      <c r="M130" t="str">
        <f t="shared" si="4"/>
        <v/>
      </c>
      <c r="N130">
        <f t="shared" si="5"/>
        <v>0</v>
      </c>
    </row>
    <row r="131" spans="1:14" ht="13.8" x14ac:dyDescent="0.3">
      <c r="A131" s="255" t="str">
        <f>výpočty!$R$14</f>
        <v>Pionowy (z góry na dół)</v>
      </c>
      <c r="B131" s="256" t="str">
        <f>výpočty!$R$10</f>
        <v>Do ślimaka roletowego</v>
      </c>
      <c r="C131" t="str">
        <f>výpočty!$R$6</f>
        <v>TOP - wpuszczany do przykręcenia metalowy z listwą maskującą</v>
      </c>
      <c r="D131" s="36" t="str">
        <f>výpočty!$W$4</f>
        <v>Biały (E23)</v>
      </c>
      <c r="E131" t="s">
        <v>2129</v>
      </c>
      <c r="F131">
        <v>0</v>
      </c>
      <c r="G131" t="s">
        <v>2139</v>
      </c>
      <c r="H131" t="str">
        <f>VLOOKUP(A:A,výpočty!$R$14:$S$15,2,FALSE)</f>
        <v>V</v>
      </c>
      <c r="I131" t="str">
        <f>VLOOKUP(B:B,výpočty!$R$9:$S$11,2,FALSE)</f>
        <v>Y</v>
      </c>
      <c r="J131" t="str">
        <f>VLOOKUP(CHYBY!C:C,výpočty!$R$3:$S$7,2,FALSE)</f>
        <v>D</v>
      </c>
      <c r="K131">
        <f>VLOOKUP(D:D,výpočty!$W$3:$X$20,2,FALSE)</f>
        <v>2</v>
      </c>
      <c r="L131" t="str">
        <f t="shared" ref="L131:L194" si="6">TRIM(CONCATENATE(H131,I131,J131,K131))</f>
        <v>VYD2</v>
      </c>
      <c r="M131" t="str">
        <f t="shared" ref="M131:M194" si="7">IF(G:G="OK","",G:G)</f>
        <v/>
      </c>
      <c r="N131">
        <f t="shared" ref="N131:N194" si="8">F:F</f>
        <v>0</v>
      </c>
    </row>
    <row r="132" spans="1:14" ht="13.8" x14ac:dyDescent="0.3">
      <c r="A132" s="255" t="str">
        <f>výpočty!$R$14</f>
        <v>Pionowy (z góry na dół)</v>
      </c>
      <c r="B132" s="256" t="str">
        <f>výpočty!$R$10</f>
        <v>Do ślimaka roletowego</v>
      </c>
      <c r="C132" t="str">
        <f>výpočty!$R$6</f>
        <v>TOP - wpuszczany do przykręcenia metalowy z listwą maskującą</v>
      </c>
      <c r="D132" s="36" t="str">
        <f>výpočty!$W$5</f>
        <v>Szary (E23)</v>
      </c>
      <c r="E132" t="s">
        <v>2129</v>
      </c>
      <c r="F132">
        <v>0</v>
      </c>
      <c r="G132" t="s">
        <v>2139</v>
      </c>
      <c r="H132" t="str">
        <f>VLOOKUP(A:A,výpočty!$R$14:$S$15,2,FALSE)</f>
        <v>V</v>
      </c>
      <c r="I132" t="str">
        <f>VLOOKUP(B:B,výpočty!$R$9:$S$11,2,FALSE)</f>
        <v>Y</v>
      </c>
      <c r="J132" t="str">
        <f>VLOOKUP(CHYBY!C:C,výpočty!$R$3:$S$7,2,FALSE)</f>
        <v>D</v>
      </c>
      <c r="K132">
        <f>VLOOKUP(D:D,výpočty!$W$3:$X$20,2,FALSE)</f>
        <v>3</v>
      </c>
      <c r="L132" t="str">
        <f t="shared" si="6"/>
        <v>VYD3</v>
      </c>
      <c r="M132" t="str">
        <f t="shared" si="7"/>
        <v/>
      </c>
      <c r="N132">
        <f t="shared" si="8"/>
        <v>0</v>
      </c>
    </row>
    <row r="133" spans="1:14" ht="13.8" x14ac:dyDescent="0.3">
      <c r="A133" s="255" t="str">
        <f>výpočty!$R$14</f>
        <v>Pionowy (z góry na dół)</v>
      </c>
      <c r="B133" s="256" t="str">
        <f>výpočty!$R$10</f>
        <v>Do ślimaka roletowego</v>
      </c>
      <c r="C133" t="str">
        <f>výpočty!$R$6</f>
        <v>TOP - wpuszczany do przykręcenia metalowy z listwą maskującą</v>
      </c>
      <c r="D133" s="36" t="str">
        <f>výpočty!$W$6</f>
        <v>Aluminowa plastik (E23)</v>
      </c>
      <c r="E133" t="s">
        <v>2129</v>
      </c>
      <c r="F133">
        <v>0</v>
      </c>
      <c r="G133" t="s">
        <v>2139</v>
      </c>
      <c r="H133" t="str">
        <f>VLOOKUP(A:A,výpočty!$R$14:$S$15,2,FALSE)</f>
        <v>V</v>
      </c>
      <c r="I133" t="str">
        <f>VLOOKUP(B:B,výpočty!$R$9:$S$11,2,FALSE)</f>
        <v>Y</v>
      </c>
      <c r="J133" t="str">
        <f>VLOOKUP(CHYBY!C:C,výpočty!$R$3:$S$7,2,FALSE)</f>
        <v>D</v>
      </c>
      <c r="K133">
        <f>VLOOKUP(D:D,výpočty!$W$3:$X$20,2,FALSE)</f>
        <v>4</v>
      </c>
      <c r="L133" t="str">
        <f t="shared" si="6"/>
        <v>VYD4</v>
      </c>
      <c r="M133" t="str">
        <f t="shared" si="7"/>
        <v/>
      </c>
      <c r="N133">
        <f t="shared" si="8"/>
        <v>0</v>
      </c>
    </row>
    <row r="134" spans="1:14" ht="13.8" x14ac:dyDescent="0.3">
      <c r="A134" s="255" t="str">
        <f>výpočty!$R$14</f>
        <v>Pionowy (z góry na dół)</v>
      </c>
      <c r="B134" s="256" t="str">
        <f>výpočty!$R$10</f>
        <v>Do ślimaka roletowego</v>
      </c>
      <c r="C134" t="str">
        <f>výpočty!$R$6</f>
        <v>TOP - wpuszczany do przykręcenia metalowy z listwą maskującą</v>
      </c>
      <c r="D134" s="36" t="str">
        <f>výpočty!$W$7</f>
        <v>Buk (E23)</v>
      </c>
      <c r="E134" t="s">
        <v>2129</v>
      </c>
      <c r="F134">
        <v>0</v>
      </c>
      <c r="G134" t="s">
        <v>2139</v>
      </c>
      <c r="H134" t="str">
        <f>VLOOKUP(A:A,výpočty!$R$14:$S$15,2,FALSE)</f>
        <v>V</v>
      </c>
      <c r="I134" t="str">
        <f>VLOOKUP(B:B,výpočty!$R$9:$S$11,2,FALSE)</f>
        <v>Y</v>
      </c>
      <c r="J134" t="str">
        <f>VLOOKUP(CHYBY!C:C,výpočty!$R$3:$S$7,2,FALSE)</f>
        <v>D</v>
      </c>
      <c r="K134">
        <f>VLOOKUP(D:D,výpočty!$W$3:$X$20,2,FALSE)</f>
        <v>5</v>
      </c>
      <c r="L134" t="str">
        <f t="shared" si="6"/>
        <v>VYD5</v>
      </c>
      <c r="M134" t="str">
        <f t="shared" si="7"/>
        <v/>
      </c>
      <c r="N134">
        <f t="shared" si="8"/>
        <v>0</v>
      </c>
    </row>
    <row r="135" spans="1:14" ht="13.8" x14ac:dyDescent="0.3">
      <c r="A135" s="255" t="str">
        <f>výpočty!$R$14</f>
        <v>Pionowy (z góry na dół)</v>
      </c>
      <c r="B135" s="256" t="str">
        <f>výpočty!$R$10</f>
        <v>Do ślimaka roletowego</v>
      </c>
      <c r="C135" t="str">
        <f>výpočty!$R$6</f>
        <v>TOP - wpuszczany do przykręcenia metalowy z listwą maskującą</v>
      </c>
      <c r="D135" s="36" t="str">
        <f>výpočty!$W$8</f>
        <v>Czereśnia (E23)</v>
      </c>
      <c r="E135" t="s">
        <v>2129</v>
      </c>
      <c r="F135">
        <v>0</v>
      </c>
      <c r="G135" t="s">
        <v>2139</v>
      </c>
      <c r="H135" t="str">
        <f>VLOOKUP(A:A,výpočty!$R$14:$S$15,2,FALSE)</f>
        <v>V</v>
      </c>
      <c r="I135" t="str">
        <f>VLOOKUP(B:B,výpočty!$R$9:$S$11,2,FALSE)</f>
        <v>Y</v>
      </c>
      <c r="J135" t="str">
        <f>VLOOKUP(CHYBY!C:C,výpočty!$R$3:$S$7,2,FALSE)</f>
        <v>D</v>
      </c>
      <c r="K135">
        <f>VLOOKUP(D:D,výpočty!$W$3:$X$20,2,FALSE)</f>
        <v>6</v>
      </c>
      <c r="L135" t="str">
        <f t="shared" si="6"/>
        <v>VYD6</v>
      </c>
      <c r="M135" t="str">
        <f t="shared" si="7"/>
        <v/>
      </c>
      <c r="N135">
        <f t="shared" si="8"/>
        <v>0</v>
      </c>
    </row>
    <row r="136" spans="1:14" ht="13.8" x14ac:dyDescent="0.3">
      <c r="A136" s="255" t="str">
        <f>výpočty!$R$14</f>
        <v>Pionowy (z góry na dół)</v>
      </c>
      <c r="B136" s="256" t="str">
        <f>výpočty!$R$10</f>
        <v>Do ślimaka roletowego</v>
      </c>
      <c r="C136" t="str">
        <f>výpočty!$R$6</f>
        <v>TOP - wpuszczany do przykręcenia metalowy z listwą maskującą</v>
      </c>
      <c r="D136" s="36" t="str">
        <f>výpočty!$W$9</f>
        <v>Klon (E23)</v>
      </c>
      <c r="E136" t="s">
        <v>2129</v>
      </c>
      <c r="F136">
        <v>0</v>
      </c>
      <c r="G136" t="s">
        <v>2139</v>
      </c>
      <c r="H136" t="str">
        <f>VLOOKUP(A:A,výpočty!$R$14:$S$15,2,FALSE)</f>
        <v>V</v>
      </c>
      <c r="I136" t="str">
        <f>VLOOKUP(B:B,výpočty!$R$9:$S$11,2,FALSE)</f>
        <v>Y</v>
      </c>
      <c r="J136" t="str">
        <f>VLOOKUP(CHYBY!C:C,výpočty!$R$3:$S$7,2,FALSE)</f>
        <v>D</v>
      </c>
      <c r="K136">
        <f>VLOOKUP(D:D,výpočty!$W$3:$X$20,2,FALSE)</f>
        <v>7</v>
      </c>
      <c r="L136" t="str">
        <f t="shared" si="6"/>
        <v>VYD7</v>
      </c>
      <c r="M136" t="str">
        <f t="shared" si="7"/>
        <v/>
      </c>
      <c r="N136">
        <f t="shared" si="8"/>
        <v>0</v>
      </c>
    </row>
    <row r="137" spans="1:14" ht="13.8" x14ac:dyDescent="0.3">
      <c r="A137" s="255" t="str">
        <f>výpočty!$R$14</f>
        <v>Pionowy (z góry na dół)</v>
      </c>
      <c r="B137" s="256" t="str">
        <f>výpočty!$R$10</f>
        <v>Do ślimaka roletowego</v>
      </c>
      <c r="C137" t="str">
        <f>výpočty!$R$6</f>
        <v>TOP - wpuszczany do przykręcenia metalowy z listwą maskującą</v>
      </c>
      <c r="D137" s="36" t="str">
        <f>výpočty!$W$10</f>
        <v>Brzoza (E23)</v>
      </c>
      <c r="E137" t="s">
        <v>2129</v>
      </c>
      <c r="F137">
        <v>0</v>
      </c>
      <c r="G137" t="s">
        <v>2139</v>
      </c>
      <c r="H137" t="str">
        <f>VLOOKUP(A:A,výpočty!$R$14:$S$15,2,FALSE)</f>
        <v>V</v>
      </c>
      <c r="I137" t="str">
        <f>VLOOKUP(B:B,výpočty!$R$9:$S$11,2,FALSE)</f>
        <v>Y</v>
      </c>
      <c r="J137" t="str">
        <f>VLOOKUP(CHYBY!C:C,výpočty!$R$3:$S$7,2,FALSE)</f>
        <v>D</v>
      </c>
      <c r="K137">
        <f>VLOOKUP(D:D,výpočty!$W$3:$X$20,2,FALSE)</f>
        <v>8</v>
      </c>
      <c r="L137" t="str">
        <f t="shared" si="6"/>
        <v>VYD8</v>
      </c>
      <c r="M137" t="str">
        <f t="shared" si="7"/>
        <v/>
      </c>
      <c r="N137">
        <f t="shared" si="8"/>
        <v>0</v>
      </c>
    </row>
    <row r="138" spans="1:14" ht="13.8" x14ac:dyDescent="0.3">
      <c r="A138" s="255" t="str">
        <f>výpočty!$R$14</f>
        <v>Pionowy (z góry na dół)</v>
      </c>
      <c r="B138" s="256" t="str">
        <f>výpočty!$R$10</f>
        <v>Do ślimaka roletowego</v>
      </c>
      <c r="C138" t="str">
        <f>výpočty!$R$6</f>
        <v>TOP - wpuszczany do przykręcenia metalowy z listwą maskującą</v>
      </c>
      <c r="D138" s="36" t="str">
        <f>výpočty!$W$11</f>
        <v>Czereśnia havana (E23)</v>
      </c>
      <c r="E138" t="s">
        <v>2129</v>
      </c>
      <c r="F138">
        <v>0</v>
      </c>
      <c r="G138" t="s">
        <v>2139</v>
      </c>
      <c r="H138" t="str">
        <f>VLOOKUP(A:A,výpočty!$R$14:$S$15,2,FALSE)</f>
        <v>V</v>
      </c>
      <c r="I138" t="str">
        <f>VLOOKUP(B:B,výpočty!$R$9:$S$11,2,FALSE)</f>
        <v>Y</v>
      </c>
      <c r="J138" t="str">
        <f>VLOOKUP(CHYBY!C:C,výpočty!$R$3:$S$7,2,FALSE)</f>
        <v>D</v>
      </c>
      <c r="K138">
        <f>VLOOKUP(D:D,výpočty!$W$3:$X$20,2,FALSE)</f>
        <v>9</v>
      </c>
      <c r="L138" t="str">
        <f t="shared" si="6"/>
        <v>VYD9</v>
      </c>
      <c r="M138" t="str">
        <f t="shared" si="7"/>
        <v/>
      </c>
      <c r="N138">
        <f t="shared" si="8"/>
        <v>0</v>
      </c>
    </row>
    <row r="139" spans="1:14" ht="13.8" x14ac:dyDescent="0.3">
      <c r="A139" s="255" t="str">
        <f>výpočty!$R$14</f>
        <v>Pionowy (z góry na dół)</v>
      </c>
      <c r="B139" s="256" t="str">
        <f>výpočty!$R$10</f>
        <v>Do ślimaka roletowego</v>
      </c>
      <c r="C139" t="str">
        <f>výpočty!$R$6</f>
        <v>TOP - wpuszczany do przykręcenia metalowy z listwą maskującą</v>
      </c>
      <c r="D139" s="36" t="str">
        <f>výpočty!$W$12</f>
        <v>Calvados (E23)</v>
      </c>
      <c r="E139" t="s">
        <v>2129</v>
      </c>
      <c r="F139">
        <v>0</v>
      </c>
      <c r="G139" t="s">
        <v>2139</v>
      </c>
      <c r="H139" t="str">
        <f>VLOOKUP(A:A,výpočty!$R$14:$S$15,2,FALSE)</f>
        <v>V</v>
      </c>
      <c r="I139" t="str">
        <f>VLOOKUP(B:B,výpočty!$R$9:$S$11,2,FALSE)</f>
        <v>Y</v>
      </c>
      <c r="J139" t="str">
        <f>VLOOKUP(CHYBY!C:C,výpočty!$R$3:$S$7,2,FALSE)</f>
        <v>D</v>
      </c>
      <c r="K139">
        <f>VLOOKUP(D:D,výpočty!$W$3:$X$20,2,FALSE)</f>
        <v>10</v>
      </c>
      <c r="L139" t="str">
        <f t="shared" si="6"/>
        <v>VYD10</v>
      </c>
      <c r="M139" t="str">
        <f t="shared" si="7"/>
        <v/>
      </c>
      <c r="N139">
        <f t="shared" si="8"/>
        <v>0</v>
      </c>
    </row>
    <row r="140" spans="1:14" ht="13.8" x14ac:dyDescent="0.3">
      <c r="A140" s="255" t="str">
        <f>výpočty!$R$14</f>
        <v>Pionowy (z góry na dół)</v>
      </c>
      <c r="B140" s="256" t="str">
        <f>výpočty!$R$10</f>
        <v>Do ślimaka roletowego</v>
      </c>
      <c r="C140" t="str">
        <f>výpočty!$R$6</f>
        <v>TOP - wpuszczany do przykręcenia metalowy z listwą maskującą</v>
      </c>
      <c r="D140" s="36" t="str">
        <f>výpočty!$W$14</f>
        <v>śnieżno biala mat (E9)</v>
      </c>
      <c r="E140" s="321" t="s">
        <v>2129</v>
      </c>
      <c r="F140" s="321">
        <v>0</v>
      </c>
      <c r="G140" s="321" t="s">
        <v>2139</v>
      </c>
      <c r="H140" t="str">
        <f>VLOOKUP(A:A,výpočty!$R$14:$S$15,2,FALSE)</f>
        <v>V</v>
      </c>
      <c r="I140" t="str">
        <f>VLOOKUP(B:B,výpočty!$R$9:$S$11,2,FALSE)</f>
        <v>Y</v>
      </c>
      <c r="J140" t="str">
        <f>VLOOKUP(CHYBY!C:C,výpočty!$R$3:$S$7,2,FALSE)</f>
        <v>D</v>
      </c>
      <c r="K140">
        <f>VLOOKUP(D:D,výpočty!$W$3:$X$20,2,FALSE)</f>
        <v>12</v>
      </c>
      <c r="L140" t="str">
        <f t="shared" si="6"/>
        <v>VYD12</v>
      </c>
      <c r="M140" t="str">
        <f t="shared" si="7"/>
        <v/>
      </c>
      <c r="N140">
        <f t="shared" si="8"/>
        <v>0</v>
      </c>
    </row>
    <row r="141" spans="1:14" ht="13.8" x14ac:dyDescent="0.3">
      <c r="A141" s="255" t="str">
        <f>výpočty!$R$14</f>
        <v>Pionowy (z góry na dół)</v>
      </c>
      <c r="B141" s="256" t="str">
        <f>výpočty!$R$10</f>
        <v>Do ślimaka roletowego</v>
      </c>
      <c r="C141" t="str">
        <f>výpočty!$R$6</f>
        <v>TOP - wpuszczany do przykręcenia metalowy z listwą maskującą</v>
      </c>
      <c r="D141" s="36" t="str">
        <f>výpočty!$W$15</f>
        <v>Aluminowa plastik (E4)</v>
      </c>
      <c r="E141" t="s">
        <v>2130</v>
      </c>
      <c r="F141">
        <v>1</v>
      </c>
      <c r="G141" s="321" t="str">
        <f>Překlady!$A$143</f>
        <v>Kolor aluminium plastik w profilu E4 jest idealny do poziomych rozwiązań w kombinacji z prowadzeniem Classic z systemem nawijania do tyłu</v>
      </c>
      <c r="H141" t="str">
        <f>VLOOKUP(A:A,výpočty!$R$14:$S$15,2,FALSE)</f>
        <v>V</v>
      </c>
      <c r="I141" t="str">
        <f>VLOOKUP(B:B,výpočty!$R$9:$S$11,2,FALSE)</f>
        <v>Y</v>
      </c>
      <c r="J141" t="str">
        <f>VLOOKUP(CHYBY!C:C,výpočty!$R$3:$S$7,2,FALSE)</f>
        <v>D</v>
      </c>
      <c r="K141">
        <f>VLOOKUP(D:D,výpočty!$W$3:$X$20,2,FALSE)</f>
        <v>13</v>
      </c>
      <c r="L141" t="str">
        <f t="shared" si="6"/>
        <v>VYD13</v>
      </c>
      <c r="M141" t="str">
        <f t="shared" si="7"/>
        <v>Kolor aluminium plastik w profilu E4 jest idealny do poziomych rozwiązań w kombinacji z prowadzeniem Classic z systemem nawijania do tyłu</v>
      </c>
      <c r="N141">
        <f t="shared" si="8"/>
        <v>1</v>
      </c>
    </row>
    <row r="142" spans="1:14" ht="13.8" x14ac:dyDescent="0.3">
      <c r="A142" s="255" t="str">
        <f>výpočty!$R$14</f>
        <v>Pionowy (z góry na dół)</v>
      </c>
      <c r="B142" s="256" t="str">
        <f>výpočty!$R$10</f>
        <v>Do ślimaka roletowego</v>
      </c>
      <c r="C142" t="str">
        <f>výpočty!$R$6</f>
        <v>TOP - wpuszczany do przykręcenia metalowy z listwą maskującą</v>
      </c>
      <c r="D142" s="36">
        <f>výpočty!$W$17</f>
        <v>0</v>
      </c>
      <c r="E142" t="s">
        <v>2129</v>
      </c>
      <c r="F142">
        <v>0</v>
      </c>
      <c r="G142" t="s">
        <v>2139</v>
      </c>
      <c r="H142" t="str">
        <f>VLOOKUP(A:A,výpočty!$R$14:$S$15,2,FALSE)</f>
        <v>V</v>
      </c>
      <c r="I142" t="str">
        <f>VLOOKUP(B:B,výpočty!$R$9:$S$11,2,FALSE)</f>
        <v>Y</v>
      </c>
      <c r="J142" t="str">
        <f>VLOOKUP(CHYBY!C:C,výpočty!$R$3:$S$7,2,FALSE)</f>
        <v>D</v>
      </c>
      <c r="K142" t="e">
        <f>VLOOKUP(D:D,výpočty!$W$3:$X$20,2,FALSE)</f>
        <v>#N/A</v>
      </c>
      <c r="L142" t="e">
        <f t="shared" si="6"/>
        <v>#N/A</v>
      </c>
      <c r="M142" t="str">
        <f t="shared" si="7"/>
        <v/>
      </c>
      <c r="N142">
        <f t="shared" si="8"/>
        <v>0</v>
      </c>
    </row>
    <row r="143" spans="1:14" ht="13.8" x14ac:dyDescent="0.3">
      <c r="A143" s="255" t="str">
        <f>výpočty!$R$14</f>
        <v>Pionowy (z góry na dół)</v>
      </c>
      <c r="B143" s="256" t="str">
        <f>výpočty!$R$10</f>
        <v>Do ślimaka roletowego</v>
      </c>
      <c r="C143" t="str">
        <f>výpočty!$R$6</f>
        <v>TOP - wpuszczany do przykręcenia metalowy z listwą maskującą</v>
      </c>
      <c r="D143" s="36">
        <f>výpočty!$W$18</f>
        <v>0</v>
      </c>
      <c r="E143" t="s">
        <v>2129</v>
      </c>
      <c r="F143">
        <v>0</v>
      </c>
      <c r="G143" t="s">
        <v>2139</v>
      </c>
      <c r="H143" t="str">
        <f>VLOOKUP(A:A,výpočty!$R$14:$S$15,2,FALSE)</f>
        <v>V</v>
      </c>
      <c r="I143" t="str">
        <f>VLOOKUP(B:B,výpočty!$R$9:$S$11,2,FALSE)</f>
        <v>Y</v>
      </c>
      <c r="J143" t="str">
        <f>VLOOKUP(CHYBY!C:C,výpočty!$R$3:$S$7,2,FALSE)</f>
        <v>D</v>
      </c>
      <c r="K143" t="e">
        <f>VLOOKUP(D:D,výpočty!$W$3:$X$20,2,FALSE)</f>
        <v>#N/A</v>
      </c>
      <c r="L143" t="e">
        <f t="shared" si="6"/>
        <v>#N/A</v>
      </c>
      <c r="M143" t="str">
        <f t="shared" si="7"/>
        <v/>
      </c>
      <c r="N143">
        <f t="shared" si="8"/>
        <v>0</v>
      </c>
    </row>
    <row r="144" spans="1:14" ht="13.8" x14ac:dyDescent="0.3">
      <c r="A144" s="255" t="str">
        <f>výpočty!$R$14</f>
        <v>Pionowy (z góry na dół)</v>
      </c>
      <c r="B144" s="256" t="str">
        <f>výpočty!$R$10</f>
        <v>Do ślimaka roletowego</v>
      </c>
      <c r="C144" t="str">
        <f>výpočty!$R$6</f>
        <v>TOP - wpuszczany do przykręcenia metalowy z listwą maskującą</v>
      </c>
      <c r="D144" s="36" t="str">
        <f>výpočty!$W$19</f>
        <v>Aluminium szerokość 25 mm (metallic-line)</v>
      </c>
      <c r="E144" t="s">
        <v>2129</v>
      </c>
      <c r="F144">
        <v>0</v>
      </c>
      <c r="G144" t="s">
        <v>2139</v>
      </c>
      <c r="H144" t="str">
        <f>VLOOKUP(A:A,výpočty!$R$14:$S$15,2,FALSE)</f>
        <v>V</v>
      </c>
      <c r="I144" t="str">
        <f>VLOOKUP(B:B,výpočty!$R$9:$S$11,2,FALSE)</f>
        <v>Y</v>
      </c>
      <c r="J144" t="str">
        <f>VLOOKUP(CHYBY!C:C,výpočty!$R$3:$S$7,2,FALSE)</f>
        <v>D</v>
      </c>
      <c r="K144">
        <f>VLOOKUP(D:D,výpočty!$W$3:$X$20,2,FALSE)</f>
        <v>17</v>
      </c>
      <c r="L144" t="str">
        <f t="shared" si="6"/>
        <v>VYD17</v>
      </c>
      <c r="M144" t="str">
        <f t="shared" si="7"/>
        <v/>
      </c>
      <c r="N144">
        <f t="shared" si="8"/>
        <v>0</v>
      </c>
    </row>
    <row r="145" spans="1:14" ht="14.4" thickBot="1" x14ac:dyDescent="0.35">
      <c r="A145" s="255" t="str">
        <f>výpočty!$R$14</f>
        <v>Pionowy (z góry na dół)</v>
      </c>
      <c r="B145" s="256" t="str">
        <f>výpočty!$R$10</f>
        <v>Do ślimaka roletowego</v>
      </c>
      <c r="C145" t="str">
        <f>výpočty!$R$6</f>
        <v>TOP - wpuszczany do przykręcenia metalowy z listwą maskującą</v>
      </c>
      <c r="D145" s="27" t="str">
        <f>výpočty!$W$20</f>
        <v>Nierdz. szerokość 25 mm (metallic-line)</v>
      </c>
      <c r="E145" t="s">
        <v>2129</v>
      </c>
      <c r="F145">
        <v>0</v>
      </c>
      <c r="G145" t="s">
        <v>2139</v>
      </c>
      <c r="H145" t="str">
        <f>VLOOKUP(A:A,výpočty!$R$14:$S$15,2,FALSE)</f>
        <v>V</v>
      </c>
      <c r="I145" t="str">
        <f>VLOOKUP(B:B,výpočty!$R$9:$S$11,2,FALSE)</f>
        <v>Y</v>
      </c>
      <c r="J145" t="str">
        <f>VLOOKUP(CHYBY!C:C,výpočty!$R$3:$S$7,2,FALSE)</f>
        <v>D</v>
      </c>
      <c r="K145">
        <f>VLOOKUP(D:D,výpočty!$W$3:$X$20,2,FALSE)</f>
        <v>18</v>
      </c>
      <c r="L145" t="str">
        <f t="shared" si="6"/>
        <v>VYD18</v>
      </c>
      <c r="M145" t="str">
        <f t="shared" si="7"/>
        <v/>
      </c>
      <c r="N145">
        <f t="shared" si="8"/>
        <v>0</v>
      </c>
    </row>
    <row r="146" spans="1:14" ht="13.8" x14ac:dyDescent="0.3">
      <c r="A146" s="255" t="str">
        <f>výpočty!$R$14</f>
        <v>Pionowy (z góry na dół)</v>
      </c>
      <c r="B146" s="256" t="str">
        <f>výpočty!$R$10</f>
        <v>Do ślimaka roletowego</v>
      </c>
      <c r="C146" t="str">
        <f>výpočty!$R$7</f>
        <v>Nakładany z prowadzeniem metalic-line 29 mm i mechanimem C3</v>
      </c>
      <c r="D146" s="26" t="str">
        <f>výpočty!$W$3</f>
        <v>Czarny (E23)</v>
      </c>
      <c r="E146" t="s">
        <v>2130</v>
      </c>
      <c r="F146">
        <v>1</v>
      </c>
      <c r="G146" s="321" t="str">
        <f>Překlady!$A$146</f>
        <v>Nakładany system prowadzenia z metalic-line 29 mm i mechanizmem C3 można łączyć jedynie z systemem nawijania przez mechanike C3</v>
      </c>
      <c r="H146" t="str">
        <f>VLOOKUP(A:A,výpočty!$R$14:$S$15,2,FALSE)</f>
        <v>V</v>
      </c>
      <c r="I146" t="str">
        <f>VLOOKUP(B:B,výpočty!$R$9:$S$11,2,FALSE)</f>
        <v>Y</v>
      </c>
      <c r="J146" t="str">
        <f>VLOOKUP(CHYBY!C:C,výpočty!$R$3:$S$7,2,FALSE)</f>
        <v>E</v>
      </c>
      <c r="K146">
        <f>VLOOKUP(D:D,výpočty!$W$3:$X$20,2,FALSE)</f>
        <v>1</v>
      </c>
      <c r="L146" t="str">
        <f t="shared" si="6"/>
        <v>VYE1</v>
      </c>
      <c r="M146" t="str">
        <f t="shared" si="7"/>
        <v>Nakładany system prowadzenia z metalic-line 29 mm i mechanizmem C3 można łączyć jedynie z systemem nawijania przez mechanike C3</v>
      </c>
      <c r="N146">
        <f t="shared" si="8"/>
        <v>1</v>
      </c>
    </row>
    <row r="147" spans="1:14" ht="13.8" x14ac:dyDescent="0.3">
      <c r="A147" s="255" t="str">
        <f>výpočty!$R$14</f>
        <v>Pionowy (z góry na dół)</v>
      </c>
      <c r="B147" s="256" t="str">
        <f>výpočty!$R$10</f>
        <v>Do ślimaka roletowego</v>
      </c>
      <c r="C147" t="str">
        <f>výpočty!$R$7</f>
        <v>Nakładany z prowadzeniem metalic-line 29 mm i mechanimem C3</v>
      </c>
      <c r="D147" s="36" t="str">
        <f>výpočty!$W$4</f>
        <v>Biały (E23)</v>
      </c>
      <c r="E147" t="s">
        <v>2130</v>
      </c>
      <c r="F147">
        <v>1</v>
      </c>
      <c r="G147" s="321" t="str">
        <f>Překlady!$A$146</f>
        <v>Nakładany system prowadzenia z metalic-line 29 mm i mechanizmem C3 można łączyć jedynie z systemem nawijania przez mechanike C3</v>
      </c>
      <c r="H147" t="str">
        <f>VLOOKUP(A:A,výpočty!$R$14:$S$15,2,FALSE)</f>
        <v>V</v>
      </c>
      <c r="I147" t="str">
        <f>VLOOKUP(B:B,výpočty!$R$9:$S$11,2,FALSE)</f>
        <v>Y</v>
      </c>
      <c r="J147" t="str">
        <f>VLOOKUP(CHYBY!C:C,výpočty!$R$3:$S$7,2,FALSE)</f>
        <v>E</v>
      </c>
      <c r="K147">
        <f>VLOOKUP(D:D,výpočty!$W$3:$X$20,2,FALSE)</f>
        <v>2</v>
      </c>
      <c r="L147" t="str">
        <f t="shared" si="6"/>
        <v>VYE2</v>
      </c>
      <c r="M147" t="str">
        <f t="shared" si="7"/>
        <v>Nakładany system prowadzenia z metalic-line 29 mm i mechanizmem C3 można łączyć jedynie z systemem nawijania przez mechanike C3</v>
      </c>
      <c r="N147">
        <f t="shared" si="8"/>
        <v>1</v>
      </c>
    </row>
    <row r="148" spans="1:14" ht="13.8" x14ac:dyDescent="0.3">
      <c r="A148" s="255" t="str">
        <f>výpočty!$R$14</f>
        <v>Pionowy (z góry na dół)</v>
      </c>
      <c r="B148" s="256" t="str">
        <f>výpočty!$R$10</f>
        <v>Do ślimaka roletowego</v>
      </c>
      <c r="C148" t="str">
        <f>výpočty!$R$7</f>
        <v>Nakładany z prowadzeniem metalic-line 29 mm i mechanimem C3</v>
      </c>
      <c r="D148" s="36" t="str">
        <f>výpočty!$W$5</f>
        <v>Szary (E23)</v>
      </c>
      <c r="E148" t="s">
        <v>2130</v>
      </c>
      <c r="F148">
        <v>1</v>
      </c>
      <c r="G148" s="321" t="str">
        <f>Překlady!$A$146</f>
        <v>Nakładany system prowadzenia z metalic-line 29 mm i mechanizmem C3 można łączyć jedynie z systemem nawijania przez mechanike C3</v>
      </c>
      <c r="H148" t="str">
        <f>VLOOKUP(A:A,výpočty!$R$14:$S$15,2,FALSE)</f>
        <v>V</v>
      </c>
      <c r="I148" t="str">
        <f>VLOOKUP(B:B,výpočty!$R$9:$S$11,2,FALSE)</f>
        <v>Y</v>
      </c>
      <c r="J148" t="str">
        <f>VLOOKUP(CHYBY!C:C,výpočty!$R$3:$S$7,2,FALSE)</f>
        <v>E</v>
      </c>
      <c r="K148">
        <f>VLOOKUP(D:D,výpočty!$W$3:$X$20,2,FALSE)</f>
        <v>3</v>
      </c>
      <c r="L148" t="str">
        <f t="shared" si="6"/>
        <v>VYE3</v>
      </c>
      <c r="M148" t="str">
        <f t="shared" si="7"/>
        <v>Nakładany system prowadzenia z metalic-line 29 mm i mechanizmem C3 można łączyć jedynie z systemem nawijania przez mechanike C3</v>
      </c>
      <c r="N148">
        <f t="shared" si="8"/>
        <v>1</v>
      </c>
    </row>
    <row r="149" spans="1:14" ht="13.8" x14ac:dyDescent="0.3">
      <c r="A149" s="255" t="str">
        <f>výpočty!$R$14</f>
        <v>Pionowy (z góry na dół)</v>
      </c>
      <c r="B149" s="256" t="str">
        <f>výpočty!$R$10</f>
        <v>Do ślimaka roletowego</v>
      </c>
      <c r="C149" t="str">
        <f>výpočty!$R$7</f>
        <v>Nakładany z prowadzeniem metalic-line 29 mm i mechanimem C3</v>
      </c>
      <c r="D149" s="36" t="str">
        <f>výpočty!$W$6</f>
        <v>Aluminowa plastik (E23)</v>
      </c>
      <c r="E149" t="s">
        <v>2130</v>
      </c>
      <c r="F149">
        <v>1</v>
      </c>
      <c r="G149" s="321" t="str">
        <f>Překlady!$A$146</f>
        <v>Nakładany system prowadzenia z metalic-line 29 mm i mechanizmem C3 można łączyć jedynie z systemem nawijania przez mechanike C3</v>
      </c>
      <c r="H149" t="str">
        <f>VLOOKUP(A:A,výpočty!$R$14:$S$15,2,FALSE)</f>
        <v>V</v>
      </c>
      <c r="I149" t="str">
        <f>VLOOKUP(B:B,výpočty!$R$9:$S$11,2,FALSE)</f>
        <v>Y</v>
      </c>
      <c r="J149" t="str">
        <f>VLOOKUP(CHYBY!C:C,výpočty!$R$3:$S$7,2,FALSE)</f>
        <v>E</v>
      </c>
      <c r="K149">
        <f>VLOOKUP(D:D,výpočty!$W$3:$X$20,2,FALSE)</f>
        <v>4</v>
      </c>
      <c r="L149" t="str">
        <f t="shared" si="6"/>
        <v>VYE4</v>
      </c>
      <c r="M149" t="str">
        <f t="shared" si="7"/>
        <v>Nakładany system prowadzenia z metalic-line 29 mm i mechanizmem C3 można łączyć jedynie z systemem nawijania przez mechanike C3</v>
      </c>
      <c r="N149">
        <f t="shared" si="8"/>
        <v>1</v>
      </c>
    </row>
    <row r="150" spans="1:14" ht="13.8" x14ac:dyDescent="0.3">
      <c r="A150" s="255" t="str">
        <f>výpočty!$R$14</f>
        <v>Pionowy (z góry na dół)</v>
      </c>
      <c r="B150" s="256" t="str">
        <f>výpočty!$R$10</f>
        <v>Do ślimaka roletowego</v>
      </c>
      <c r="C150" t="str">
        <f>výpočty!$R$7</f>
        <v>Nakładany z prowadzeniem metalic-line 29 mm i mechanimem C3</v>
      </c>
      <c r="D150" s="36" t="str">
        <f>výpočty!$W$7</f>
        <v>Buk (E23)</v>
      </c>
      <c r="E150" t="s">
        <v>2130</v>
      </c>
      <c r="F150">
        <v>1</v>
      </c>
      <c r="G150" s="321" t="str">
        <f>Překlady!$A$146</f>
        <v>Nakładany system prowadzenia z metalic-line 29 mm i mechanizmem C3 można łączyć jedynie z systemem nawijania przez mechanike C3</v>
      </c>
      <c r="H150" t="str">
        <f>VLOOKUP(A:A,výpočty!$R$14:$S$15,2,FALSE)</f>
        <v>V</v>
      </c>
      <c r="I150" t="str">
        <f>VLOOKUP(B:B,výpočty!$R$9:$S$11,2,FALSE)</f>
        <v>Y</v>
      </c>
      <c r="J150" t="str">
        <f>VLOOKUP(CHYBY!C:C,výpočty!$R$3:$S$7,2,FALSE)</f>
        <v>E</v>
      </c>
      <c r="K150">
        <f>VLOOKUP(D:D,výpočty!$W$3:$X$20,2,FALSE)</f>
        <v>5</v>
      </c>
      <c r="L150" t="str">
        <f t="shared" si="6"/>
        <v>VYE5</v>
      </c>
      <c r="M150" t="str">
        <f t="shared" si="7"/>
        <v>Nakładany system prowadzenia z metalic-line 29 mm i mechanizmem C3 można łączyć jedynie z systemem nawijania przez mechanike C3</v>
      </c>
      <c r="N150">
        <f t="shared" si="8"/>
        <v>1</v>
      </c>
    </row>
    <row r="151" spans="1:14" ht="13.8" x14ac:dyDescent="0.3">
      <c r="A151" s="255" t="str">
        <f>výpočty!$R$14</f>
        <v>Pionowy (z góry na dół)</v>
      </c>
      <c r="B151" s="256" t="str">
        <f>výpočty!$R$10</f>
        <v>Do ślimaka roletowego</v>
      </c>
      <c r="C151" t="str">
        <f>výpočty!$R$7</f>
        <v>Nakładany z prowadzeniem metalic-line 29 mm i mechanimem C3</v>
      </c>
      <c r="D151" s="36" t="str">
        <f>výpočty!$W$8</f>
        <v>Czereśnia (E23)</v>
      </c>
      <c r="E151" t="s">
        <v>2130</v>
      </c>
      <c r="F151">
        <v>1</v>
      </c>
      <c r="G151" s="321" t="str">
        <f>Překlady!$A$146</f>
        <v>Nakładany system prowadzenia z metalic-line 29 mm i mechanizmem C3 można łączyć jedynie z systemem nawijania przez mechanike C3</v>
      </c>
      <c r="H151" t="str">
        <f>VLOOKUP(A:A,výpočty!$R$14:$S$15,2,FALSE)</f>
        <v>V</v>
      </c>
      <c r="I151" t="str">
        <f>VLOOKUP(B:B,výpočty!$R$9:$S$11,2,FALSE)</f>
        <v>Y</v>
      </c>
      <c r="J151" t="str">
        <f>VLOOKUP(CHYBY!C:C,výpočty!$R$3:$S$7,2,FALSE)</f>
        <v>E</v>
      </c>
      <c r="K151">
        <f>VLOOKUP(D:D,výpočty!$W$3:$X$20,2,FALSE)</f>
        <v>6</v>
      </c>
      <c r="L151" t="str">
        <f t="shared" si="6"/>
        <v>VYE6</v>
      </c>
      <c r="M151" t="str">
        <f t="shared" si="7"/>
        <v>Nakładany system prowadzenia z metalic-line 29 mm i mechanizmem C3 można łączyć jedynie z systemem nawijania przez mechanike C3</v>
      </c>
      <c r="N151">
        <f t="shared" si="8"/>
        <v>1</v>
      </c>
    </row>
    <row r="152" spans="1:14" ht="13.8" x14ac:dyDescent="0.3">
      <c r="A152" s="255" t="str">
        <f>výpočty!$R$14</f>
        <v>Pionowy (z góry na dół)</v>
      </c>
      <c r="B152" s="256" t="str">
        <f>výpočty!$R$10</f>
        <v>Do ślimaka roletowego</v>
      </c>
      <c r="C152" t="str">
        <f>výpočty!$R$7</f>
        <v>Nakładany z prowadzeniem metalic-line 29 mm i mechanimem C3</v>
      </c>
      <c r="D152" s="36" t="str">
        <f>výpočty!$W$9</f>
        <v>Klon (E23)</v>
      </c>
      <c r="E152" t="s">
        <v>2130</v>
      </c>
      <c r="F152">
        <v>1</v>
      </c>
      <c r="G152" s="321" t="str">
        <f>Překlady!$A$146</f>
        <v>Nakładany system prowadzenia z metalic-line 29 mm i mechanizmem C3 można łączyć jedynie z systemem nawijania przez mechanike C3</v>
      </c>
      <c r="H152" t="str">
        <f>VLOOKUP(A:A,výpočty!$R$14:$S$15,2,FALSE)</f>
        <v>V</v>
      </c>
      <c r="I152" t="str">
        <f>VLOOKUP(B:B,výpočty!$R$9:$S$11,2,FALSE)</f>
        <v>Y</v>
      </c>
      <c r="J152" t="str">
        <f>VLOOKUP(CHYBY!C:C,výpočty!$R$3:$S$7,2,FALSE)</f>
        <v>E</v>
      </c>
      <c r="K152">
        <f>VLOOKUP(D:D,výpočty!$W$3:$X$20,2,FALSE)</f>
        <v>7</v>
      </c>
      <c r="L152" t="str">
        <f t="shared" si="6"/>
        <v>VYE7</v>
      </c>
      <c r="M152" t="str">
        <f t="shared" si="7"/>
        <v>Nakładany system prowadzenia z metalic-line 29 mm i mechanizmem C3 można łączyć jedynie z systemem nawijania przez mechanike C3</v>
      </c>
      <c r="N152">
        <f t="shared" si="8"/>
        <v>1</v>
      </c>
    </row>
    <row r="153" spans="1:14" ht="13.8" x14ac:dyDescent="0.3">
      <c r="A153" s="255" t="str">
        <f>výpočty!$R$14</f>
        <v>Pionowy (z góry na dół)</v>
      </c>
      <c r="B153" s="256" t="str">
        <f>výpočty!$R$10</f>
        <v>Do ślimaka roletowego</v>
      </c>
      <c r="C153" t="str">
        <f>výpočty!$R$7</f>
        <v>Nakładany z prowadzeniem metalic-line 29 mm i mechanimem C3</v>
      </c>
      <c r="D153" s="36" t="str">
        <f>výpočty!$W$10</f>
        <v>Brzoza (E23)</v>
      </c>
      <c r="E153" t="s">
        <v>2130</v>
      </c>
      <c r="F153">
        <v>1</v>
      </c>
      <c r="G153" s="321" t="str">
        <f>Překlady!$A$146</f>
        <v>Nakładany system prowadzenia z metalic-line 29 mm i mechanizmem C3 można łączyć jedynie z systemem nawijania przez mechanike C3</v>
      </c>
      <c r="H153" t="str">
        <f>VLOOKUP(A:A,výpočty!$R$14:$S$15,2,FALSE)</f>
        <v>V</v>
      </c>
      <c r="I153" t="str">
        <f>VLOOKUP(B:B,výpočty!$R$9:$S$11,2,FALSE)</f>
        <v>Y</v>
      </c>
      <c r="J153" t="str">
        <f>VLOOKUP(CHYBY!C:C,výpočty!$R$3:$S$7,2,FALSE)</f>
        <v>E</v>
      </c>
      <c r="K153">
        <f>VLOOKUP(D:D,výpočty!$W$3:$X$20,2,FALSE)</f>
        <v>8</v>
      </c>
      <c r="L153" t="str">
        <f t="shared" si="6"/>
        <v>VYE8</v>
      </c>
      <c r="M153" t="str">
        <f t="shared" si="7"/>
        <v>Nakładany system prowadzenia z metalic-line 29 mm i mechanizmem C3 można łączyć jedynie z systemem nawijania przez mechanike C3</v>
      </c>
      <c r="N153">
        <f t="shared" si="8"/>
        <v>1</v>
      </c>
    </row>
    <row r="154" spans="1:14" ht="13.8" x14ac:dyDescent="0.3">
      <c r="A154" s="255" t="str">
        <f>výpočty!$R$14</f>
        <v>Pionowy (z góry na dół)</v>
      </c>
      <c r="B154" s="256" t="str">
        <f>výpočty!$R$10</f>
        <v>Do ślimaka roletowego</v>
      </c>
      <c r="C154" t="str">
        <f>výpočty!$R$7</f>
        <v>Nakładany z prowadzeniem metalic-line 29 mm i mechanimem C3</v>
      </c>
      <c r="D154" s="36" t="str">
        <f>výpočty!$W$11</f>
        <v>Czereśnia havana (E23)</v>
      </c>
      <c r="E154" t="s">
        <v>2130</v>
      </c>
      <c r="F154">
        <v>1</v>
      </c>
      <c r="G154" s="321" t="str">
        <f>Překlady!$A$146</f>
        <v>Nakładany system prowadzenia z metalic-line 29 mm i mechanizmem C3 można łączyć jedynie z systemem nawijania przez mechanike C3</v>
      </c>
      <c r="H154" t="str">
        <f>VLOOKUP(A:A,výpočty!$R$14:$S$15,2,FALSE)</f>
        <v>V</v>
      </c>
      <c r="I154" t="str">
        <f>VLOOKUP(B:B,výpočty!$R$9:$S$11,2,FALSE)</f>
        <v>Y</v>
      </c>
      <c r="J154" t="str">
        <f>VLOOKUP(CHYBY!C:C,výpočty!$R$3:$S$7,2,FALSE)</f>
        <v>E</v>
      </c>
      <c r="K154">
        <f>VLOOKUP(D:D,výpočty!$W$3:$X$20,2,FALSE)</f>
        <v>9</v>
      </c>
      <c r="L154" t="str">
        <f t="shared" si="6"/>
        <v>VYE9</v>
      </c>
      <c r="M154" t="str">
        <f t="shared" si="7"/>
        <v>Nakładany system prowadzenia z metalic-line 29 mm i mechanizmem C3 można łączyć jedynie z systemem nawijania przez mechanike C3</v>
      </c>
      <c r="N154">
        <f t="shared" si="8"/>
        <v>1</v>
      </c>
    </row>
    <row r="155" spans="1:14" ht="13.8" x14ac:dyDescent="0.3">
      <c r="A155" s="255" t="str">
        <f>výpočty!$R$14</f>
        <v>Pionowy (z góry na dół)</v>
      </c>
      <c r="B155" s="256" t="str">
        <f>výpočty!$R$10</f>
        <v>Do ślimaka roletowego</v>
      </c>
      <c r="C155" t="str">
        <f>výpočty!$R$7</f>
        <v>Nakładany z prowadzeniem metalic-line 29 mm i mechanimem C3</v>
      </c>
      <c r="D155" s="36" t="str">
        <f>výpočty!$W$12</f>
        <v>Calvados (E23)</v>
      </c>
      <c r="E155" t="s">
        <v>2130</v>
      </c>
      <c r="F155">
        <v>1</v>
      </c>
      <c r="G155" s="321" t="str">
        <f>Překlady!$A$146</f>
        <v>Nakładany system prowadzenia z metalic-line 29 mm i mechanizmem C3 można łączyć jedynie z systemem nawijania przez mechanike C3</v>
      </c>
      <c r="H155" t="str">
        <f>VLOOKUP(A:A,výpočty!$R$14:$S$15,2,FALSE)</f>
        <v>V</v>
      </c>
      <c r="I155" t="str">
        <f>VLOOKUP(B:B,výpočty!$R$9:$S$11,2,FALSE)</f>
        <v>Y</v>
      </c>
      <c r="J155" t="str">
        <f>VLOOKUP(CHYBY!C:C,výpočty!$R$3:$S$7,2,FALSE)</f>
        <v>E</v>
      </c>
      <c r="K155">
        <f>VLOOKUP(D:D,výpočty!$W$3:$X$20,2,FALSE)</f>
        <v>10</v>
      </c>
      <c r="L155" t="str">
        <f t="shared" si="6"/>
        <v>VYE10</v>
      </c>
      <c r="M155" t="str">
        <f t="shared" si="7"/>
        <v>Nakładany system prowadzenia z metalic-line 29 mm i mechanizmem C3 można łączyć jedynie z systemem nawijania przez mechanike C3</v>
      </c>
      <c r="N155">
        <f t="shared" si="8"/>
        <v>1</v>
      </c>
    </row>
    <row r="156" spans="1:14" ht="13.8" x14ac:dyDescent="0.3">
      <c r="A156" s="255" t="str">
        <f>výpočty!$R$14</f>
        <v>Pionowy (z góry na dół)</v>
      </c>
      <c r="B156" s="256" t="str">
        <f>výpočty!$R$10</f>
        <v>Do ślimaka roletowego</v>
      </c>
      <c r="C156" t="str">
        <f>výpočty!$R$7</f>
        <v>Nakładany z prowadzeniem metalic-line 29 mm i mechanimem C3</v>
      </c>
      <c r="D156" s="36" t="str">
        <f>výpočty!$W$14</f>
        <v>śnieżno biala mat (E9)</v>
      </c>
      <c r="E156" t="s">
        <v>2130</v>
      </c>
      <c r="F156">
        <v>1</v>
      </c>
      <c r="G156" s="321" t="str">
        <f>Překlady!$A$142</f>
        <v>Kolor śnieżno biały w profilu E9 można łączyć jedynie z prowadzeniem Classic i systemem nawijania do tyłu</v>
      </c>
      <c r="H156" t="str">
        <f>VLOOKUP(A:A,výpočty!$R$14:$S$15,2,FALSE)</f>
        <v>V</v>
      </c>
      <c r="I156" t="str">
        <f>VLOOKUP(B:B,výpočty!$R$9:$S$11,2,FALSE)</f>
        <v>Y</v>
      </c>
      <c r="J156" t="str">
        <f>VLOOKUP(CHYBY!C:C,výpočty!$R$3:$S$7,2,FALSE)</f>
        <v>E</v>
      </c>
      <c r="K156">
        <f>VLOOKUP(D:D,výpočty!$W$3:$X$20,2,FALSE)</f>
        <v>12</v>
      </c>
      <c r="L156" t="str">
        <f t="shared" si="6"/>
        <v>VYE12</v>
      </c>
      <c r="M156" t="str">
        <f t="shared" si="7"/>
        <v>Kolor śnieżno biały w profilu E9 można łączyć jedynie z prowadzeniem Classic i systemem nawijania do tyłu</v>
      </c>
      <c r="N156">
        <f t="shared" si="8"/>
        <v>1</v>
      </c>
    </row>
    <row r="157" spans="1:14" ht="13.8" x14ac:dyDescent="0.3">
      <c r="A157" s="255" t="str">
        <f>výpočty!$R$14</f>
        <v>Pionowy (z góry na dół)</v>
      </c>
      <c r="B157" s="256" t="str">
        <f>výpočty!$R$10</f>
        <v>Do ślimaka roletowego</v>
      </c>
      <c r="C157" t="str">
        <f>výpočty!$R$7</f>
        <v>Nakładany z prowadzeniem metalic-line 29 mm i mechanimem C3</v>
      </c>
      <c r="D157" s="36" t="str">
        <f>výpočty!$W$15</f>
        <v>Aluminowa plastik (E4)</v>
      </c>
      <c r="E157" t="s">
        <v>2130</v>
      </c>
      <c r="F157">
        <v>1</v>
      </c>
      <c r="G157" s="321" t="str">
        <f>Překlady!$A$143</f>
        <v>Kolor aluminium plastik w profilu E4 jest idealny do poziomych rozwiązań w kombinacji z prowadzeniem Classic z systemem nawijania do tyłu</v>
      </c>
      <c r="H157" t="str">
        <f>VLOOKUP(A:A,výpočty!$R$14:$S$15,2,FALSE)</f>
        <v>V</v>
      </c>
      <c r="I157" t="str">
        <f>VLOOKUP(B:B,výpočty!$R$9:$S$11,2,FALSE)</f>
        <v>Y</v>
      </c>
      <c r="J157" t="str">
        <f>VLOOKUP(CHYBY!C:C,výpočty!$R$3:$S$7,2,FALSE)</f>
        <v>E</v>
      </c>
      <c r="K157">
        <f>VLOOKUP(D:D,výpočty!$W$3:$X$20,2,FALSE)</f>
        <v>13</v>
      </c>
      <c r="L157" t="str">
        <f t="shared" si="6"/>
        <v>VYE13</v>
      </c>
      <c r="M157" t="str">
        <f t="shared" si="7"/>
        <v>Kolor aluminium plastik w profilu E4 jest idealny do poziomych rozwiązań w kombinacji z prowadzeniem Classic z systemem nawijania do tyłu</v>
      </c>
      <c r="N157">
        <f t="shared" si="8"/>
        <v>1</v>
      </c>
    </row>
    <row r="158" spans="1:14" ht="13.8" x14ac:dyDescent="0.3">
      <c r="A158" s="255" t="str">
        <f>výpočty!$R$14</f>
        <v>Pionowy (z góry na dół)</v>
      </c>
      <c r="B158" s="256" t="str">
        <f>výpočty!$R$10</f>
        <v>Do ślimaka roletowego</v>
      </c>
      <c r="C158" t="str">
        <f>výpočty!$R$7</f>
        <v>Nakładany z prowadzeniem metalic-line 29 mm i mechanimem C3</v>
      </c>
      <c r="D158" s="36">
        <f>výpočty!$W$17</f>
        <v>0</v>
      </c>
      <c r="E158" t="s">
        <v>2130</v>
      </c>
      <c r="F158">
        <v>1</v>
      </c>
      <c r="G158" s="321" t="str">
        <f>Překlady!$A$146</f>
        <v>Nakładany system prowadzenia z metalic-line 29 mm i mechanizmem C3 można łączyć jedynie z systemem nawijania przez mechanike C3</v>
      </c>
      <c r="H158" t="str">
        <f>VLOOKUP(A:A,výpočty!$R$14:$S$15,2,FALSE)</f>
        <v>V</v>
      </c>
      <c r="I158" t="str">
        <f>VLOOKUP(B:B,výpočty!$R$9:$S$11,2,FALSE)</f>
        <v>Y</v>
      </c>
      <c r="J158" t="str">
        <f>VLOOKUP(CHYBY!C:C,výpočty!$R$3:$S$7,2,FALSE)</f>
        <v>E</v>
      </c>
      <c r="K158" t="e">
        <f>VLOOKUP(D:D,výpočty!$W$3:$X$20,2,FALSE)</f>
        <v>#N/A</v>
      </c>
      <c r="L158" t="e">
        <f t="shared" si="6"/>
        <v>#N/A</v>
      </c>
      <c r="M158" t="str">
        <f t="shared" si="7"/>
        <v>Nakładany system prowadzenia z metalic-line 29 mm i mechanizmem C3 można łączyć jedynie z systemem nawijania przez mechanike C3</v>
      </c>
      <c r="N158">
        <f t="shared" si="8"/>
        <v>1</v>
      </c>
    </row>
    <row r="159" spans="1:14" ht="13.8" x14ac:dyDescent="0.3">
      <c r="A159" s="255" t="str">
        <f>výpočty!$R$14</f>
        <v>Pionowy (z góry na dół)</v>
      </c>
      <c r="B159" s="256" t="str">
        <f>výpočty!$R$10</f>
        <v>Do ślimaka roletowego</v>
      </c>
      <c r="C159" t="str">
        <f>výpočty!$R$7</f>
        <v>Nakładany z prowadzeniem metalic-line 29 mm i mechanimem C3</v>
      </c>
      <c r="D159" s="36">
        <f>výpočty!$W$18</f>
        <v>0</v>
      </c>
      <c r="E159" t="s">
        <v>2130</v>
      </c>
      <c r="F159">
        <v>1</v>
      </c>
      <c r="G159" s="321" t="str">
        <f>Překlady!$A$146</f>
        <v>Nakładany system prowadzenia z metalic-line 29 mm i mechanizmem C3 można łączyć jedynie z systemem nawijania przez mechanike C3</v>
      </c>
      <c r="H159" t="str">
        <f>VLOOKUP(A:A,výpočty!$R$14:$S$15,2,FALSE)</f>
        <v>V</v>
      </c>
      <c r="I159" t="str">
        <f>VLOOKUP(B:B,výpočty!$R$9:$S$11,2,FALSE)</f>
        <v>Y</v>
      </c>
      <c r="J159" t="str">
        <f>VLOOKUP(CHYBY!C:C,výpočty!$R$3:$S$7,2,FALSE)</f>
        <v>E</v>
      </c>
      <c r="K159" t="e">
        <f>VLOOKUP(D:D,výpočty!$W$3:$X$20,2,FALSE)</f>
        <v>#N/A</v>
      </c>
      <c r="L159" t="e">
        <f t="shared" si="6"/>
        <v>#N/A</v>
      </c>
      <c r="M159" t="str">
        <f t="shared" si="7"/>
        <v>Nakładany system prowadzenia z metalic-line 29 mm i mechanizmem C3 można łączyć jedynie z systemem nawijania przez mechanike C3</v>
      </c>
      <c r="N159">
        <f t="shared" si="8"/>
        <v>1</v>
      </c>
    </row>
    <row r="160" spans="1:14" ht="13.8" x14ac:dyDescent="0.3">
      <c r="A160" s="255" t="str">
        <f>výpočty!$R$14</f>
        <v>Pionowy (z góry na dół)</v>
      </c>
      <c r="B160" s="256" t="str">
        <f>výpočty!$R$10</f>
        <v>Do ślimaka roletowego</v>
      </c>
      <c r="C160" t="str">
        <f>výpočty!$R$7</f>
        <v>Nakładany z prowadzeniem metalic-line 29 mm i mechanimem C3</v>
      </c>
      <c r="D160" s="36" t="str">
        <f>výpočty!$W$19</f>
        <v>Aluminium szerokość 25 mm (metallic-line)</v>
      </c>
      <c r="E160" t="s">
        <v>2130</v>
      </c>
      <c r="F160">
        <v>1</v>
      </c>
      <c r="G160" s="321" t="str">
        <f>Překlady!$A$146</f>
        <v>Nakładany system prowadzenia z metalic-line 29 mm i mechanizmem C3 można łączyć jedynie z systemem nawijania przez mechanike C3</v>
      </c>
      <c r="H160" t="str">
        <f>VLOOKUP(A:A,výpočty!$R$14:$S$15,2,FALSE)</f>
        <v>V</v>
      </c>
      <c r="I160" t="str">
        <f>VLOOKUP(B:B,výpočty!$R$9:$S$11,2,FALSE)</f>
        <v>Y</v>
      </c>
      <c r="J160" t="str">
        <f>VLOOKUP(CHYBY!C:C,výpočty!$R$3:$S$7,2,FALSE)</f>
        <v>E</v>
      </c>
      <c r="K160">
        <f>VLOOKUP(D:D,výpočty!$W$3:$X$20,2,FALSE)</f>
        <v>17</v>
      </c>
      <c r="L160" t="str">
        <f t="shared" si="6"/>
        <v>VYE17</v>
      </c>
      <c r="M160" t="str">
        <f t="shared" si="7"/>
        <v>Nakładany system prowadzenia z metalic-line 29 mm i mechanizmem C3 można łączyć jedynie z systemem nawijania przez mechanike C3</v>
      </c>
      <c r="N160">
        <f t="shared" si="8"/>
        <v>1</v>
      </c>
    </row>
    <row r="161" spans="1:14" ht="14.4" thickBot="1" x14ac:dyDescent="0.35">
      <c r="A161" s="255" t="str">
        <f>výpočty!$R$14</f>
        <v>Pionowy (z góry na dół)</v>
      </c>
      <c r="B161" s="256" t="str">
        <f>výpočty!$R$10</f>
        <v>Do ślimaka roletowego</v>
      </c>
      <c r="C161" t="str">
        <f>výpočty!$R$7</f>
        <v>Nakładany z prowadzeniem metalic-line 29 mm i mechanimem C3</v>
      </c>
      <c r="D161" s="27" t="str">
        <f>výpočty!$W$20</f>
        <v>Nierdz. szerokość 25 mm (metallic-line)</v>
      </c>
      <c r="E161" t="s">
        <v>2130</v>
      </c>
      <c r="F161">
        <v>1</v>
      </c>
      <c r="G161" s="321" t="str">
        <f>Překlady!$A$146</f>
        <v>Nakładany system prowadzenia z metalic-line 29 mm i mechanizmem C3 można łączyć jedynie z systemem nawijania przez mechanike C3</v>
      </c>
      <c r="H161" t="str">
        <f>VLOOKUP(A:A,výpočty!$R$14:$S$15,2,FALSE)</f>
        <v>V</v>
      </c>
      <c r="I161" t="str">
        <f>VLOOKUP(B:B,výpočty!$R$9:$S$11,2,FALSE)</f>
        <v>Y</v>
      </c>
      <c r="J161" t="str">
        <f>VLOOKUP(CHYBY!C:C,výpočty!$R$3:$S$7,2,FALSE)</f>
        <v>E</v>
      </c>
      <c r="K161">
        <f>VLOOKUP(D:D,výpočty!$W$3:$X$20,2,FALSE)</f>
        <v>18</v>
      </c>
      <c r="L161" t="str">
        <f t="shared" si="6"/>
        <v>VYE18</v>
      </c>
      <c r="M161" t="str">
        <f t="shared" si="7"/>
        <v>Nakładany system prowadzenia z metalic-line 29 mm i mechanizmem C3 można łączyć jedynie z systemem nawijania przez mechanike C3</v>
      </c>
      <c r="N161">
        <f t="shared" si="8"/>
        <v>1</v>
      </c>
    </row>
    <row r="162" spans="1:14" ht="13.8" x14ac:dyDescent="0.3">
      <c r="A162" s="255" t="str">
        <f>výpočty!$R$14</f>
        <v>Pionowy (z góry na dół)</v>
      </c>
      <c r="B162" t="str">
        <f>výpočty!$R$11</f>
        <v>Z mecjanizmem C3</v>
      </c>
      <c r="C162" t="str">
        <f>výpočty!$R$3</f>
        <v>TOP Basic - wpuszczany do przykręcenia plastikowy</v>
      </c>
      <c r="D162" s="26" t="str">
        <f>výpočty!$W$3</f>
        <v>Czarny (E23)</v>
      </c>
      <c r="E162" s="321" t="s">
        <v>2129</v>
      </c>
      <c r="F162">
        <v>2</v>
      </c>
      <c r="G162" s="321" t="str">
        <f>Překlady!$A$149</f>
        <v>Systemu nawijania na mechanizm C3 nie można łączyć z prowadzeniem TOP BASIC bez samodzielnego dostosowywania profilu prowadzącego (zob. instrukcja). Kolejnym rozwiązaniem jest wybór prowadzenia TOP.</v>
      </c>
      <c r="H162" t="str">
        <f>VLOOKUP(A:A,výpočty!$R$14:$S$15,2,FALSE)</f>
        <v>V</v>
      </c>
      <c r="I162" t="str">
        <f>VLOOKUP(B:B,výpočty!$R$9:$S$11,2,FALSE)</f>
        <v>Z</v>
      </c>
      <c r="J162" t="str">
        <f>VLOOKUP(CHYBY!C:C,výpočty!$R$3:$S$7,2,FALSE)</f>
        <v>A</v>
      </c>
      <c r="K162">
        <f>VLOOKUP(D:D,výpočty!$W$3:$X$20,2,FALSE)</f>
        <v>1</v>
      </c>
      <c r="L162" t="str">
        <f t="shared" si="6"/>
        <v>VZA1</v>
      </c>
      <c r="M162" t="str">
        <f t="shared" si="7"/>
        <v>Systemu nawijania na mechanizm C3 nie można łączyć z prowadzeniem TOP BASIC bez samodzielnego dostosowywania profilu prowadzącego (zob. instrukcja). Kolejnym rozwiązaniem jest wybór prowadzenia TOP.</v>
      </c>
      <c r="N162">
        <f t="shared" si="8"/>
        <v>2</v>
      </c>
    </row>
    <row r="163" spans="1:14" ht="13.8" x14ac:dyDescent="0.3">
      <c r="A163" s="255" t="str">
        <f>výpočty!$R$14</f>
        <v>Pionowy (z góry na dół)</v>
      </c>
      <c r="B163" t="str">
        <f>výpočty!$R$11</f>
        <v>Z mecjanizmem C3</v>
      </c>
      <c r="C163" t="str">
        <f>výpočty!$R$3</f>
        <v>TOP Basic - wpuszczany do przykręcenia plastikowy</v>
      </c>
      <c r="D163" s="36" t="str">
        <f>výpočty!$W$4</f>
        <v>Biały (E23)</v>
      </c>
      <c r="E163" s="321" t="s">
        <v>2129</v>
      </c>
      <c r="F163">
        <v>2</v>
      </c>
      <c r="G163" s="321" t="str">
        <f>Překlady!$A$149</f>
        <v>Systemu nawijania na mechanizm C3 nie można łączyć z prowadzeniem TOP BASIC bez samodzielnego dostosowywania profilu prowadzącego (zob. instrukcja). Kolejnym rozwiązaniem jest wybór prowadzenia TOP.</v>
      </c>
      <c r="H163" t="str">
        <f>VLOOKUP(A:A,výpočty!$R$14:$S$15,2,FALSE)</f>
        <v>V</v>
      </c>
      <c r="I163" t="str">
        <f>VLOOKUP(B:B,výpočty!$R$9:$S$11,2,FALSE)</f>
        <v>Z</v>
      </c>
      <c r="J163" t="str">
        <f>VLOOKUP(CHYBY!C:C,výpočty!$R$3:$S$7,2,FALSE)</f>
        <v>A</v>
      </c>
      <c r="K163">
        <f>VLOOKUP(D:D,výpočty!$W$3:$X$20,2,FALSE)</f>
        <v>2</v>
      </c>
      <c r="L163" t="str">
        <f t="shared" si="6"/>
        <v>VZA2</v>
      </c>
      <c r="M163" t="str">
        <f t="shared" si="7"/>
        <v>Systemu nawijania na mechanizm C3 nie można łączyć z prowadzeniem TOP BASIC bez samodzielnego dostosowywania profilu prowadzącego (zob. instrukcja). Kolejnym rozwiązaniem jest wybór prowadzenia TOP.</v>
      </c>
      <c r="N163">
        <f t="shared" si="8"/>
        <v>2</v>
      </c>
    </row>
    <row r="164" spans="1:14" ht="13.8" x14ac:dyDescent="0.3">
      <c r="A164" s="255" t="str">
        <f>výpočty!$R$14</f>
        <v>Pionowy (z góry na dół)</v>
      </c>
      <c r="B164" t="str">
        <f>výpočty!$R$11</f>
        <v>Z mecjanizmem C3</v>
      </c>
      <c r="C164" t="str">
        <f>výpočty!$R$3</f>
        <v>TOP Basic - wpuszczany do przykręcenia plastikowy</v>
      </c>
      <c r="D164" s="36" t="str">
        <f>výpočty!$W$5</f>
        <v>Szary (E23)</v>
      </c>
      <c r="E164" s="321" t="s">
        <v>2129</v>
      </c>
      <c r="F164">
        <v>2</v>
      </c>
      <c r="G164" s="321" t="str">
        <f>Překlady!$A$149</f>
        <v>Systemu nawijania na mechanizm C3 nie można łączyć z prowadzeniem TOP BASIC bez samodzielnego dostosowywania profilu prowadzącego (zob. instrukcja). Kolejnym rozwiązaniem jest wybór prowadzenia TOP.</v>
      </c>
      <c r="H164" t="str">
        <f>VLOOKUP(A:A,výpočty!$R$14:$S$15,2,FALSE)</f>
        <v>V</v>
      </c>
      <c r="I164" t="str">
        <f>VLOOKUP(B:B,výpočty!$R$9:$S$11,2,FALSE)</f>
        <v>Z</v>
      </c>
      <c r="J164" t="str">
        <f>VLOOKUP(CHYBY!C:C,výpočty!$R$3:$S$7,2,FALSE)</f>
        <v>A</v>
      </c>
      <c r="K164">
        <f>VLOOKUP(D:D,výpočty!$W$3:$X$20,2,FALSE)</f>
        <v>3</v>
      </c>
      <c r="L164" t="str">
        <f t="shared" si="6"/>
        <v>VZA3</v>
      </c>
      <c r="M164" t="str">
        <f t="shared" si="7"/>
        <v>Systemu nawijania na mechanizm C3 nie można łączyć z prowadzeniem TOP BASIC bez samodzielnego dostosowywania profilu prowadzącego (zob. instrukcja). Kolejnym rozwiązaniem jest wybór prowadzenia TOP.</v>
      </c>
      <c r="N164">
        <f t="shared" si="8"/>
        <v>2</v>
      </c>
    </row>
    <row r="165" spans="1:14" ht="13.8" x14ac:dyDescent="0.3">
      <c r="A165" s="255" t="str">
        <f>výpočty!$R$14</f>
        <v>Pionowy (z góry na dół)</v>
      </c>
      <c r="B165" t="str">
        <f>výpočty!$R$11</f>
        <v>Z mecjanizmem C3</v>
      </c>
      <c r="C165" t="str">
        <f>výpočty!$R$3</f>
        <v>TOP Basic - wpuszczany do przykręcenia plastikowy</v>
      </c>
      <c r="D165" s="36" t="str">
        <f>výpočty!$W$6</f>
        <v>Aluminowa plastik (E23)</v>
      </c>
      <c r="E165" s="321" t="s">
        <v>2129</v>
      </c>
      <c r="F165">
        <v>2</v>
      </c>
      <c r="G165" s="321" t="str">
        <f>Překlady!$A$149</f>
        <v>Systemu nawijania na mechanizm C3 nie można łączyć z prowadzeniem TOP BASIC bez samodzielnego dostosowywania profilu prowadzącego (zob. instrukcja). Kolejnym rozwiązaniem jest wybór prowadzenia TOP.</v>
      </c>
      <c r="H165" t="str">
        <f>VLOOKUP(A:A,výpočty!$R$14:$S$15,2,FALSE)</f>
        <v>V</v>
      </c>
      <c r="I165" t="str">
        <f>VLOOKUP(B:B,výpočty!$R$9:$S$11,2,FALSE)</f>
        <v>Z</v>
      </c>
      <c r="J165" t="str">
        <f>VLOOKUP(CHYBY!C:C,výpočty!$R$3:$S$7,2,FALSE)</f>
        <v>A</v>
      </c>
      <c r="K165">
        <f>VLOOKUP(D:D,výpočty!$W$3:$X$20,2,FALSE)</f>
        <v>4</v>
      </c>
      <c r="L165" t="str">
        <f t="shared" si="6"/>
        <v>VZA4</v>
      </c>
      <c r="M165" t="str">
        <f t="shared" si="7"/>
        <v>Systemu nawijania na mechanizm C3 nie można łączyć z prowadzeniem TOP BASIC bez samodzielnego dostosowywania profilu prowadzącego (zob. instrukcja). Kolejnym rozwiązaniem jest wybór prowadzenia TOP.</v>
      </c>
      <c r="N165">
        <f t="shared" si="8"/>
        <v>2</v>
      </c>
    </row>
    <row r="166" spans="1:14" ht="13.8" x14ac:dyDescent="0.3">
      <c r="A166" s="255" t="str">
        <f>výpočty!$R$14</f>
        <v>Pionowy (z góry na dół)</v>
      </c>
      <c r="B166" t="str">
        <f>výpočty!$R$11</f>
        <v>Z mecjanizmem C3</v>
      </c>
      <c r="C166" t="str">
        <f>výpočty!$R$3</f>
        <v>TOP Basic - wpuszczany do przykręcenia plastikowy</v>
      </c>
      <c r="D166" s="36" t="str">
        <f>výpočty!$W$7</f>
        <v>Buk (E23)</v>
      </c>
      <c r="E166" s="321" t="s">
        <v>2129</v>
      </c>
      <c r="F166">
        <v>2</v>
      </c>
      <c r="G166" s="321" t="str">
        <f>Překlady!$A$149</f>
        <v>Systemu nawijania na mechanizm C3 nie można łączyć z prowadzeniem TOP BASIC bez samodzielnego dostosowywania profilu prowadzącego (zob. instrukcja). Kolejnym rozwiązaniem jest wybór prowadzenia TOP.</v>
      </c>
      <c r="H166" t="str">
        <f>VLOOKUP(A:A,výpočty!$R$14:$S$15,2,FALSE)</f>
        <v>V</v>
      </c>
      <c r="I166" t="str">
        <f>VLOOKUP(B:B,výpočty!$R$9:$S$11,2,FALSE)</f>
        <v>Z</v>
      </c>
      <c r="J166" t="str">
        <f>VLOOKUP(CHYBY!C:C,výpočty!$R$3:$S$7,2,FALSE)</f>
        <v>A</v>
      </c>
      <c r="K166">
        <f>VLOOKUP(D:D,výpočty!$W$3:$X$20,2,FALSE)</f>
        <v>5</v>
      </c>
      <c r="L166" t="str">
        <f t="shared" si="6"/>
        <v>VZA5</v>
      </c>
      <c r="M166" t="str">
        <f t="shared" si="7"/>
        <v>Systemu nawijania na mechanizm C3 nie można łączyć z prowadzeniem TOP BASIC bez samodzielnego dostosowywania profilu prowadzącego (zob. instrukcja). Kolejnym rozwiązaniem jest wybór prowadzenia TOP.</v>
      </c>
      <c r="N166">
        <f t="shared" si="8"/>
        <v>2</v>
      </c>
    </row>
    <row r="167" spans="1:14" ht="13.8" x14ac:dyDescent="0.3">
      <c r="A167" s="255" t="str">
        <f>výpočty!$R$14</f>
        <v>Pionowy (z góry na dół)</v>
      </c>
      <c r="B167" t="str">
        <f>výpočty!$R$11</f>
        <v>Z mecjanizmem C3</v>
      </c>
      <c r="C167" t="str">
        <f>výpočty!$R$3</f>
        <v>TOP Basic - wpuszczany do przykręcenia plastikowy</v>
      </c>
      <c r="D167" s="36" t="str">
        <f>výpočty!$W$8</f>
        <v>Czereśnia (E23)</v>
      </c>
      <c r="E167" s="321" t="s">
        <v>2129</v>
      </c>
      <c r="F167">
        <v>2</v>
      </c>
      <c r="G167" s="321" t="str">
        <f>Překlady!$A$149</f>
        <v>Systemu nawijania na mechanizm C3 nie można łączyć z prowadzeniem TOP BASIC bez samodzielnego dostosowywania profilu prowadzącego (zob. instrukcja). Kolejnym rozwiązaniem jest wybór prowadzenia TOP.</v>
      </c>
      <c r="H167" t="str">
        <f>VLOOKUP(A:A,výpočty!$R$14:$S$15,2,FALSE)</f>
        <v>V</v>
      </c>
      <c r="I167" t="str">
        <f>VLOOKUP(B:B,výpočty!$R$9:$S$11,2,FALSE)</f>
        <v>Z</v>
      </c>
      <c r="J167" t="str">
        <f>VLOOKUP(CHYBY!C:C,výpočty!$R$3:$S$7,2,FALSE)</f>
        <v>A</v>
      </c>
      <c r="K167">
        <f>VLOOKUP(D:D,výpočty!$W$3:$X$20,2,FALSE)</f>
        <v>6</v>
      </c>
      <c r="L167" t="str">
        <f t="shared" si="6"/>
        <v>VZA6</v>
      </c>
      <c r="M167" t="str">
        <f t="shared" si="7"/>
        <v>Systemu nawijania na mechanizm C3 nie można łączyć z prowadzeniem TOP BASIC bez samodzielnego dostosowywania profilu prowadzącego (zob. instrukcja). Kolejnym rozwiązaniem jest wybór prowadzenia TOP.</v>
      </c>
      <c r="N167">
        <f t="shared" si="8"/>
        <v>2</v>
      </c>
    </row>
    <row r="168" spans="1:14" ht="13.8" x14ac:dyDescent="0.3">
      <c r="A168" s="255" t="str">
        <f>výpočty!$R$14</f>
        <v>Pionowy (z góry na dół)</v>
      </c>
      <c r="B168" t="str">
        <f>výpočty!$R$11</f>
        <v>Z mecjanizmem C3</v>
      </c>
      <c r="C168" t="str">
        <f>výpočty!$R$3</f>
        <v>TOP Basic - wpuszczany do przykręcenia plastikowy</v>
      </c>
      <c r="D168" s="36" t="str">
        <f>výpočty!$W$9</f>
        <v>Klon (E23)</v>
      </c>
      <c r="E168" s="321" t="s">
        <v>2129</v>
      </c>
      <c r="F168">
        <v>2</v>
      </c>
      <c r="G168" s="321" t="str">
        <f>Překlady!$A$149</f>
        <v>Systemu nawijania na mechanizm C3 nie można łączyć z prowadzeniem TOP BASIC bez samodzielnego dostosowywania profilu prowadzącego (zob. instrukcja). Kolejnym rozwiązaniem jest wybór prowadzenia TOP.</v>
      </c>
      <c r="H168" t="str">
        <f>VLOOKUP(A:A,výpočty!$R$14:$S$15,2,FALSE)</f>
        <v>V</v>
      </c>
      <c r="I168" t="str">
        <f>VLOOKUP(B:B,výpočty!$R$9:$S$11,2,FALSE)</f>
        <v>Z</v>
      </c>
      <c r="J168" t="str">
        <f>VLOOKUP(CHYBY!C:C,výpočty!$R$3:$S$7,2,FALSE)</f>
        <v>A</v>
      </c>
      <c r="K168">
        <f>VLOOKUP(D:D,výpočty!$W$3:$X$20,2,FALSE)</f>
        <v>7</v>
      </c>
      <c r="L168" t="str">
        <f t="shared" si="6"/>
        <v>VZA7</v>
      </c>
      <c r="M168" t="str">
        <f t="shared" si="7"/>
        <v>Systemu nawijania na mechanizm C3 nie można łączyć z prowadzeniem TOP BASIC bez samodzielnego dostosowywania profilu prowadzącego (zob. instrukcja). Kolejnym rozwiązaniem jest wybór prowadzenia TOP.</v>
      </c>
      <c r="N168">
        <f t="shared" si="8"/>
        <v>2</v>
      </c>
    </row>
    <row r="169" spans="1:14" ht="13.8" x14ac:dyDescent="0.3">
      <c r="A169" s="255" t="str">
        <f>výpočty!$R$14</f>
        <v>Pionowy (z góry na dół)</v>
      </c>
      <c r="B169" t="str">
        <f>výpočty!$R$11</f>
        <v>Z mecjanizmem C3</v>
      </c>
      <c r="C169" t="str">
        <f>výpočty!$R$3</f>
        <v>TOP Basic - wpuszczany do przykręcenia plastikowy</v>
      </c>
      <c r="D169" s="36" t="str">
        <f>výpočty!$W$10</f>
        <v>Brzoza (E23)</v>
      </c>
      <c r="E169" s="321" t="s">
        <v>2129</v>
      </c>
      <c r="F169">
        <v>2</v>
      </c>
      <c r="G169" s="321" t="str">
        <f>Překlady!$A$149</f>
        <v>Systemu nawijania na mechanizm C3 nie można łączyć z prowadzeniem TOP BASIC bez samodzielnego dostosowywania profilu prowadzącego (zob. instrukcja). Kolejnym rozwiązaniem jest wybór prowadzenia TOP.</v>
      </c>
      <c r="H169" t="str">
        <f>VLOOKUP(A:A,výpočty!$R$14:$S$15,2,FALSE)</f>
        <v>V</v>
      </c>
      <c r="I169" t="str">
        <f>VLOOKUP(B:B,výpočty!$R$9:$S$11,2,FALSE)</f>
        <v>Z</v>
      </c>
      <c r="J169" t="str">
        <f>VLOOKUP(CHYBY!C:C,výpočty!$R$3:$S$7,2,FALSE)</f>
        <v>A</v>
      </c>
      <c r="K169">
        <f>VLOOKUP(D:D,výpočty!$W$3:$X$20,2,FALSE)</f>
        <v>8</v>
      </c>
      <c r="L169" t="str">
        <f t="shared" si="6"/>
        <v>VZA8</v>
      </c>
      <c r="M169" t="str">
        <f t="shared" si="7"/>
        <v>Systemu nawijania na mechanizm C3 nie można łączyć z prowadzeniem TOP BASIC bez samodzielnego dostosowywania profilu prowadzącego (zob. instrukcja). Kolejnym rozwiązaniem jest wybór prowadzenia TOP.</v>
      </c>
      <c r="N169">
        <f t="shared" si="8"/>
        <v>2</v>
      </c>
    </row>
    <row r="170" spans="1:14" ht="13.8" x14ac:dyDescent="0.3">
      <c r="A170" s="255" t="str">
        <f>výpočty!$R$14</f>
        <v>Pionowy (z góry na dół)</v>
      </c>
      <c r="B170" t="str">
        <f>výpočty!$R$11</f>
        <v>Z mecjanizmem C3</v>
      </c>
      <c r="C170" t="str">
        <f>výpočty!$R$3</f>
        <v>TOP Basic - wpuszczany do przykręcenia plastikowy</v>
      </c>
      <c r="D170" s="36" t="str">
        <f>výpočty!$W$11</f>
        <v>Czereśnia havana (E23)</v>
      </c>
      <c r="E170" s="321" t="s">
        <v>2129</v>
      </c>
      <c r="F170">
        <v>2</v>
      </c>
      <c r="G170" s="321" t="str">
        <f>Překlady!$A$149</f>
        <v>Systemu nawijania na mechanizm C3 nie można łączyć z prowadzeniem TOP BASIC bez samodzielnego dostosowywania profilu prowadzącego (zob. instrukcja). Kolejnym rozwiązaniem jest wybór prowadzenia TOP.</v>
      </c>
      <c r="H170" t="str">
        <f>VLOOKUP(A:A,výpočty!$R$14:$S$15,2,FALSE)</f>
        <v>V</v>
      </c>
      <c r="I170" t="str">
        <f>VLOOKUP(B:B,výpočty!$R$9:$S$11,2,FALSE)</f>
        <v>Z</v>
      </c>
      <c r="J170" t="str">
        <f>VLOOKUP(CHYBY!C:C,výpočty!$R$3:$S$7,2,FALSE)</f>
        <v>A</v>
      </c>
      <c r="K170">
        <f>VLOOKUP(D:D,výpočty!$W$3:$X$20,2,FALSE)</f>
        <v>9</v>
      </c>
      <c r="L170" t="str">
        <f t="shared" si="6"/>
        <v>VZA9</v>
      </c>
      <c r="M170" t="str">
        <f t="shared" si="7"/>
        <v>Systemu nawijania na mechanizm C3 nie można łączyć z prowadzeniem TOP BASIC bez samodzielnego dostosowywania profilu prowadzącego (zob. instrukcja). Kolejnym rozwiązaniem jest wybór prowadzenia TOP.</v>
      </c>
      <c r="N170">
        <f t="shared" si="8"/>
        <v>2</v>
      </c>
    </row>
    <row r="171" spans="1:14" ht="13.8" x14ac:dyDescent="0.3">
      <c r="A171" s="255" t="str">
        <f>výpočty!$R$14</f>
        <v>Pionowy (z góry na dół)</v>
      </c>
      <c r="B171" t="str">
        <f>výpočty!$R$11</f>
        <v>Z mecjanizmem C3</v>
      </c>
      <c r="C171" t="str">
        <f>výpočty!$R$3</f>
        <v>TOP Basic - wpuszczany do przykręcenia plastikowy</v>
      </c>
      <c r="D171" s="36" t="str">
        <f>výpočty!$W$12</f>
        <v>Calvados (E23)</v>
      </c>
      <c r="E171" s="321" t="s">
        <v>2129</v>
      </c>
      <c r="F171">
        <v>2</v>
      </c>
      <c r="G171" s="321" t="str">
        <f>Překlady!$A$149</f>
        <v>Systemu nawijania na mechanizm C3 nie można łączyć z prowadzeniem TOP BASIC bez samodzielnego dostosowywania profilu prowadzącego (zob. instrukcja). Kolejnym rozwiązaniem jest wybór prowadzenia TOP.</v>
      </c>
      <c r="H171" t="str">
        <f>VLOOKUP(A:A,výpočty!$R$14:$S$15,2,FALSE)</f>
        <v>V</v>
      </c>
      <c r="I171" t="str">
        <f>VLOOKUP(B:B,výpočty!$R$9:$S$11,2,FALSE)</f>
        <v>Z</v>
      </c>
      <c r="J171" t="str">
        <f>VLOOKUP(CHYBY!C:C,výpočty!$R$3:$S$7,2,FALSE)</f>
        <v>A</v>
      </c>
      <c r="K171">
        <f>VLOOKUP(D:D,výpočty!$W$3:$X$20,2,FALSE)</f>
        <v>10</v>
      </c>
      <c r="L171" t="str">
        <f t="shared" si="6"/>
        <v>VZA10</v>
      </c>
      <c r="M171" t="str">
        <f t="shared" si="7"/>
        <v>Systemu nawijania na mechanizm C3 nie można łączyć z prowadzeniem TOP BASIC bez samodzielnego dostosowywania profilu prowadzącego (zob. instrukcja). Kolejnym rozwiązaniem jest wybór prowadzenia TOP.</v>
      </c>
      <c r="N171">
        <f t="shared" si="8"/>
        <v>2</v>
      </c>
    </row>
    <row r="172" spans="1:14" ht="13.8" x14ac:dyDescent="0.3">
      <c r="A172" s="255" t="str">
        <f>výpočty!$R$14</f>
        <v>Pionowy (z góry na dół)</v>
      </c>
      <c r="B172" t="str">
        <f>výpočty!$R$11</f>
        <v>Z mecjanizmem C3</v>
      </c>
      <c r="C172" t="str">
        <f>výpočty!$R$3</f>
        <v>TOP Basic - wpuszczany do przykręcenia plastikowy</v>
      </c>
      <c r="D172" s="36" t="str">
        <f>výpočty!$W$14</f>
        <v>śnieżno biala mat (E9)</v>
      </c>
      <c r="E172" t="s">
        <v>2130</v>
      </c>
      <c r="F172">
        <v>1</v>
      </c>
      <c r="G172" s="321" t="str">
        <f>Překlady!$A$142</f>
        <v>Kolor śnieżno biały w profilu E9 można łączyć jedynie z prowadzeniem Classic i systemem nawijania do tyłu</v>
      </c>
      <c r="H172" t="str">
        <f>VLOOKUP(A:A,výpočty!$R$14:$S$15,2,FALSE)</f>
        <v>V</v>
      </c>
      <c r="I172" t="str">
        <f>VLOOKUP(B:B,výpočty!$R$9:$S$11,2,FALSE)</f>
        <v>Z</v>
      </c>
      <c r="J172" t="str">
        <f>VLOOKUP(CHYBY!C:C,výpočty!$R$3:$S$7,2,FALSE)</f>
        <v>A</v>
      </c>
      <c r="K172">
        <f>VLOOKUP(D:D,výpočty!$W$3:$X$20,2,FALSE)</f>
        <v>12</v>
      </c>
      <c r="L172" t="str">
        <f t="shared" si="6"/>
        <v>VZA12</v>
      </c>
      <c r="M172" t="str">
        <f t="shared" si="7"/>
        <v>Kolor śnieżno biały w profilu E9 można łączyć jedynie z prowadzeniem Classic i systemem nawijania do tyłu</v>
      </c>
      <c r="N172">
        <f t="shared" si="8"/>
        <v>1</v>
      </c>
    </row>
    <row r="173" spans="1:14" ht="13.8" x14ac:dyDescent="0.3">
      <c r="A173" s="255" t="str">
        <f>výpočty!$R$14</f>
        <v>Pionowy (z góry na dół)</v>
      </c>
      <c r="B173" t="str">
        <f>výpočty!$R$11</f>
        <v>Z mecjanizmem C3</v>
      </c>
      <c r="C173" t="str">
        <f>výpočty!$R$3</f>
        <v>TOP Basic - wpuszczany do przykręcenia plastikowy</v>
      </c>
      <c r="D173" s="36" t="str">
        <f>výpočty!$W$15</f>
        <v>Aluminowa plastik (E4)</v>
      </c>
      <c r="E173" t="s">
        <v>2130</v>
      </c>
      <c r="F173">
        <v>1</v>
      </c>
      <c r="G173" s="321" t="str">
        <f>Překlady!$A$143</f>
        <v>Kolor aluminium plastik w profilu E4 jest idealny do poziomych rozwiązań w kombinacji z prowadzeniem Classic z systemem nawijania do tyłu</v>
      </c>
      <c r="H173" t="str">
        <f>VLOOKUP(A:A,výpočty!$R$14:$S$15,2,FALSE)</f>
        <v>V</v>
      </c>
      <c r="I173" t="str">
        <f>VLOOKUP(B:B,výpočty!$R$9:$S$11,2,FALSE)</f>
        <v>Z</v>
      </c>
      <c r="J173" t="str">
        <f>VLOOKUP(CHYBY!C:C,výpočty!$R$3:$S$7,2,FALSE)</f>
        <v>A</v>
      </c>
      <c r="K173">
        <f>VLOOKUP(D:D,výpočty!$W$3:$X$20,2,FALSE)</f>
        <v>13</v>
      </c>
      <c r="L173" t="str">
        <f t="shared" si="6"/>
        <v>VZA13</v>
      </c>
      <c r="M173" t="str">
        <f t="shared" si="7"/>
        <v>Kolor aluminium plastik w profilu E4 jest idealny do poziomych rozwiązań w kombinacji z prowadzeniem Classic z systemem nawijania do tyłu</v>
      </c>
      <c r="N173">
        <f t="shared" si="8"/>
        <v>1</v>
      </c>
    </row>
    <row r="174" spans="1:14" ht="13.8" x14ac:dyDescent="0.3">
      <c r="A174" s="255" t="str">
        <f>výpočty!$R$14</f>
        <v>Pionowy (z góry na dół)</v>
      </c>
      <c r="B174" t="str">
        <f>výpočty!$R$11</f>
        <v>Z mecjanizmem C3</v>
      </c>
      <c r="C174" t="str">
        <f>výpočty!$R$3</f>
        <v>TOP Basic - wpuszczany do przykręcenia plastikowy</v>
      </c>
      <c r="D174" s="36">
        <f>výpočty!$W$17</f>
        <v>0</v>
      </c>
      <c r="E174" t="s">
        <v>2130</v>
      </c>
      <c r="F174">
        <v>1</v>
      </c>
      <c r="G174" s="321" t="str">
        <f>Překlady!$A$144</f>
        <v>Systemu prowadzenia TOP BASIC nie da się zastosować z roletowym profilem Metallic line. Należy wybrać wersję TOP.</v>
      </c>
      <c r="H174" t="str">
        <f>VLOOKUP(A:A,výpočty!$R$14:$S$15,2,FALSE)</f>
        <v>V</v>
      </c>
      <c r="I174" t="str">
        <f>VLOOKUP(B:B,výpočty!$R$9:$S$11,2,FALSE)</f>
        <v>Z</v>
      </c>
      <c r="J174" t="str">
        <f>VLOOKUP(CHYBY!C:C,výpočty!$R$3:$S$7,2,FALSE)</f>
        <v>A</v>
      </c>
      <c r="K174" t="e">
        <f>VLOOKUP(D:D,výpočty!$W$3:$X$20,2,FALSE)</f>
        <v>#N/A</v>
      </c>
      <c r="L174" t="e">
        <f t="shared" si="6"/>
        <v>#N/A</v>
      </c>
      <c r="M174" t="str">
        <f t="shared" si="7"/>
        <v>Systemu prowadzenia TOP BASIC nie da się zastosować z roletowym profilem Metallic line. Należy wybrać wersję TOP.</v>
      </c>
      <c r="N174">
        <f t="shared" si="8"/>
        <v>1</v>
      </c>
    </row>
    <row r="175" spans="1:14" ht="13.8" x14ac:dyDescent="0.3">
      <c r="A175" s="255" t="str">
        <f>výpočty!$R$14</f>
        <v>Pionowy (z góry na dół)</v>
      </c>
      <c r="B175" t="str">
        <f>výpočty!$R$11</f>
        <v>Z mecjanizmem C3</v>
      </c>
      <c r="C175" t="str">
        <f>výpočty!$R$3</f>
        <v>TOP Basic - wpuszczany do przykręcenia plastikowy</v>
      </c>
      <c r="D175" s="36">
        <f>výpočty!$W$18</f>
        <v>0</v>
      </c>
      <c r="E175" t="s">
        <v>2130</v>
      </c>
      <c r="F175">
        <v>1</v>
      </c>
      <c r="G175" s="321" t="str">
        <f>Překlady!$A$144</f>
        <v>Systemu prowadzenia TOP BASIC nie da się zastosować z roletowym profilem Metallic line. Należy wybrać wersję TOP.</v>
      </c>
      <c r="H175" t="str">
        <f>VLOOKUP(A:A,výpočty!$R$14:$S$15,2,FALSE)</f>
        <v>V</v>
      </c>
      <c r="I175" t="str">
        <f>VLOOKUP(B:B,výpočty!$R$9:$S$11,2,FALSE)</f>
        <v>Z</v>
      </c>
      <c r="J175" t="str">
        <f>VLOOKUP(CHYBY!C:C,výpočty!$R$3:$S$7,2,FALSE)</f>
        <v>A</v>
      </c>
      <c r="K175" t="e">
        <f>VLOOKUP(D:D,výpočty!$W$3:$X$20,2,FALSE)</f>
        <v>#N/A</v>
      </c>
      <c r="L175" t="e">
        <f t="shared" si="6"/>
        <v>#N/A</v>
      </c>
      <c r="M175" t="str">
        <f t="shared" si="7"/>
        <v>Systemu prowadzenia TOP BASIC nie da się zastosować z roletowym profilem Metallic line. Należy wybrać wersję TOP.</v>
      </c>
      <c r="N175">
        <f t="shared" si="8"/>
        <v>1</v>
      </c>
    </row>
    <row r="176" spans="1:14" ht="13.8" x14ac:dyDescent="0.3">
      <c r="A176" s="255" t="str">
        <f>výpočty!$R$14</f>
        <v>Pionowy (z góry na dół)</v>
      </c>
      <c r="B176" t="str">
        <f>výpočty!$R$11</f>
        <v>Z mecjanizmem C3</v>
      </c>
      <c r="C176" t="str">
        <f>výpočty!$R$3</f>
        <v>TOP Basic - wpuszczany do przykręcenia plastikowy</v>
      </c>
      <c r="D176" s="36" t="str">
        <f>výpočty!$W$19</f>
        <v>Aluminium szerokość 25 mm (metallic-line)</v>
      </c>
      <c r="E176" t="s">
        <v>2130</v>
      </c>
      <c r="F176">
        <v>1</v>
      </c>
      <c r="G176" s="321" t="str">
        <f>Překlady!$A$144</f>
        <v>Systemu prowadzenia TOP BASIC nie da się zastosować z roletowym profilem Metallic line. Należy wybrać wersję TOP.</v>
      </c>
      <c r="H176" t="str">
        <f>VLOOKUP(A:A,výpočty!$R$14:$S$15,2,FALSE)</f>
        <v>V</v>
      </c>
      <c r="I176" t="str">
        <f>VLOOKUP(B:B,výpočty!$R$9:$S$11,2,FALSE)</f>
        <v>Z</v>
      </c>
      <c r="J176" t="str">
        <f>VLOOKUP(CHYBY!C:C,výpočty!$R$3:$S$7,2,FALSE)</f>
        <v>A</v>
      </c>
      <c r="K176">
        <f>VLOOKUP(D:D,výpočty!$W$3:$X$20,2,FALSE)</f>
        <v>17</v>
      </c>
      <c r="L176" t="str">
        <f t="shared" si="6"/>
        <v>VZA17</v>
      </c>
      <c r="M176" t="str">
        <f t="shared" si="7"/>
        <v>Systemu prowadzenia TOP BASIC nie da się zastosować z roletowym profilem Metallic line. Należy wybrać wersję TOP.</v>
      </c>
      <c r="N176">
        <f t="shared" si="8"/>
        <v>1</v>
      </c>
    </row>
    <row r="177" spans="1:14" ht="14.4" thickBot="1" x14ac:dyDescent="0.35">
      <c r="A177" s="255" t="str">
        <f>výpočty!$R$14</f>
        <v>Pionowy (z góry na dół)</v>
      </c>
      <c r="B177" t="str">
        <f>výpočty!$R$11</f>
        <v>Z mecjanizmem C3</v>
      </c>
      <c r="C177" t="str">
        <f>výpočty!$R$3</f>
        <v>TOP Basic - wpuszczany do przykręcenia plastikowy</v>
      </c>
      <c r="D177" s="27" t="str">
        <f>výpočty!$W$20</f>
        <v>Nierdz. szerokość 25 mm (metallic-line)</v>
      </c>
      <c r="E177" t="s">
        <v>2130</v>
      </c>
      <c r="F177">
        <v>1</v>
      </c>
      <c r="G177" s="321" t="str">
        <f>Překlady!$A$144</f>
        <v>Systemu prowadzenia TOP BASIC nie da się zastosować z roletowym profilem Metallic line. Należy wybrać wersję TOP.</v>
      </c>
      <c r="H177" t="str">
        <f>VLOOKUP(A:A,výpočty!$R$14:$S$15,2,FALSE)</f>
        <v>V</v>
      </c>
      <c r="I177" t="str">
        <f>VLOOKUP(B:B,výpočty!$R$9:$S$11,2,FALSE)</f>
        <v>Z</v>
      </c>
      <c r="J177" t="str">
        <f>VLOOKUP(CHYBY!C:C,výpočty!$R$3:$S$7,2,FALSE)</f>
        <v>A</v>
      </c>
      <c r="K177">
        <f>VLOOKUP(D:D,výpočty!$W$3:$X$20,2,FALSE)</f>
        <v>18</v>
      </c>
      <c r="L177" t="str">
        <f t="shared" si="6"/>
        <v>VZA18</v>
      </c>
      <c r="M177" t="str">
        <f t="shared" si="7"/>
        <v>Systemu prowadzenia TOP BASIC nie da się zastosować z roletowym profilem Metallic line. Należy wybrać wersję TOP.</v>
      </c>
      <c r="N177">
        <f t="shared" si="8"/>
        <v>1</v>
      </c>
    </row>
    <row r="178" spans="1:14" ht="13.8" x14ac:dyDescent="0.3">
      <c r="A178" s="255" t="str">
        <f>výpočty!$R$14</f>
        <v>Pionowy (z góry na dół)</v>
      </c>
      <c r="B178" t="str">
        <f>výpočty!$R$11</f>
        <v>Z mecjanizmem C3</v>
      </c>
      <c r="C178" t="str">
        <f>výpočty!$R$4</f>
        <v>Classic - wpuszczany do zafrezowania</v>
      </c>
      <c r="D178" s="26" t="str">
        <f>výpočty!$W$3</f>
        <v>Czarny (E23)</v>
      </c>
      <c r="E178" t="s">
        <v>2130</v>
      </c>
      <c r="F178">
        <v>1</v>
      </c>
      <c r="G178" t="str">
        <f>Překlady!$A$150</f>
        <v>Systemu nawijania na mechanizm C3 nie można łączyć z prowadzeniem Classic, zalecamy wybrać inny system nawijania.</v>
      </c>
      <c r="H178" t="str">
        <f>VLOOKUP(A:A,výpočty!$R$14:$S$15,2,FALSE)</f>
        <v>V</v>
      </c>
      <c r="I178" t="str">
        <f>VLOOKUP(B:B,výpočty!$R$9:$S$11,2,FALSE)</f>
        <v>Z</v>
      </c>
      <c r="J178" t="str">
        <f>VLOOKUP(CHYBY!C:C,výpočty!$R$3:$S$7,2,FALSE)</f>
        <v>B</v>
      </c>
      <c r="K178">
        <f>VLOOKUP(D:D,výpočty!$W$3:$X$20,2,FALSE)</f>
        <v>1</v>
      </c>
      <c r="L178" t="str">
        <f t="shared" si="6"/>
        <v>VZB1</v>
      </c>
      <c r="M178" t="str">
        <f t="shared" si="7"/>
        <v>Systemu nawijania na mechanizm C3 nie można łączyć z prowadzeniem Classic, zalecamy wybrać inny system nawijania.</v>
      </c>
      <c r="N178">
        <f t="shared" si="8"/>
        <v>1</v>
      </c>
    </row>
    <row r="179" spans="1:14" ht="13.8" x14ac:dyDescent="0.3">
      <c r="A179" s="255" t="str">
        <f>výpočty!$R$14</f>
        <v>Pionowy (z góry na dół)</v>
      </c>
      <c r="B179" t="str">
        <f>výpočty!$R$11</f>
        <v>Z mecjanizmem C3</v>
      </c>
      <c r="C179" t="str">
        <f>výpočty!$R$4</f>
        <v>Classic - wpuszczany do zafrezowania</v>
      </c>
      <c r="D179" s="36" t="str">
        <f>výpočty!$W$4</f>
        <v>Biały (E23)</v>
      </c>
      <c r="E179" t="s">
        <v>2130</v>
      </c>
      <c r="F179">
        <v>1</v>
      </c>
      <c r="G179" t="str">
        <f>Překlady!$A$150</f>
        <v>Systemu nawijania na mechanizm C3 nie można łączyć z prowadzeniem Classic, zalecamy wybrać inny system nawijania.</v>
      </c>
      <c r="H179" t="str">
        <f>VLOOKUP(A:A,výpočty!$R$14:$S$15,2,FALSE)</f>
        <v>V</v>
      </c>
      <c r="I179" t="str">
        <f>VLOOKUP(B:B,výpočty!$R$9:$S$11,2,FALSE)</f>
        <v>Z</v>
      </c>
      <c r="J179" t="str">
        <f>VLOOKUP(CHYBY!C:C,výpočty!$R$3:$S$7,2,FALSE)</f>
        <v>B</v>
      </c>
      <c r="K179">
        <f>VLOOKUP(D:D,výpočty!$W$3:$X$20,2,FALSE)</f>
        <v>2</v>
      </c>
      <c r="L179" t="str">
        <f t="shared" si="6"/>
        <v>VZB2</v>
      </c>
      <c r="M179" t="str">
        <f t="shared" si="7"/>
        <v>Systemu nawijania na mechanizm C3 nie można łączyć z prowadzeniem Classic, zalecamy wybrać inny system nawijania.</v>
      </c>
      <c r="N179">
        <f t="shared" si="8"/>
        <v>1</v>
      </c>
    </row>
    <row r="180" spans="1:14" ht="13.8" x14ac:dyDescent="0.3">
      <c r="A180" s="255" t="str">
        <f>výpočty!$R$14</f>
        <v>Pionowy (z góry na dół)</v>
      </c>
      <c r="B180" t="str">
        <f>výpočty!$R$11</f>
        <v>Z mecjanizmem C3</v>
      </c>
      <c r="C180" t="str">
        <f>výpočty!$R$4</f>
        <v>Classic - wpuszczany do zafrezowania</v>
      </c>
      <c r="D180" s="36" t="str">
        <f>výpočty!$W$5</f>
        <v>Szary (E23)</v>
      </c>
      <c r="E180" t="s">
        <v>2130</v>
      </c>
      <c r="F180">
        <v>1</v>
      </c>
      <c r="G180" t="str">
        <f>Překlady!$A$150</f>
        <v>Systemu nawijania na mechanizm C3 nie można łączyć z prowadzeniem Classic, zalecamy wybrać inny system nawijania.</v>
      </c>
      <c r="H180" t="str">
        <f>VLOOKUP(A:A,výpočty!$R$14:$S$15,2,FALSE)</f>
        <v>V</v>
      </c>
      <c r="I180" t="str">
        <f>VLOOKUP(B:B,výpočty!$R$9:$S$11,2,FALSE)</f>
        <v>Z</v>
      </c>
      <c r="J180" t="str">
        <f>VLOOKUP(CHYBY!C:C,výpočty!$R$3:$S$7,2,FALSE)</f>
        <v>B</v>
      </c>
      <c r="K180">
        <f>VLOOKUP(D:D,výpočty!$W$3:$X$20,2,FALSE)</f>
        <v>3</v>
      </c>
      <c r="L180" t="str">
        <f t="shared" si="6"/>
        <v>VZB3</v>
      </c>
      <c r="M180" t="str">
        <f t="shared" si="7"/>
        <v>Systemu nawijania na mechanizm C3 nie można łączyć z prowadzeniem Classic, zalecamy wybrać inny system nawijania.</v>
      </c>
      <c r="N180">
        <f t="shared" si="8"/>
        <v>1</v>
      </c>
    </row>
    <row r="181" spans="1:14" ht="13.8" x14ac:dyDescent="0.3">
      <c r="A181" s="255" t="str">
        <f>výpočty!$R$14</f>
        <v>Pionowy (z góry na dół)</v>
      </c>
      <c r="B181" t="str">
        <f>výpočty!$R$11</f>
        <v>Z mecjanizmem C3</v>
      </c>
      <c r="C181" t="str">
        <f>výpočty!$R$4</f>
        <v>Classic - wpuszczany do zafrezowania</v>
      </c>
      <c r="D181" s="36" t="str">
        <f>výpočty!$W$6</f>
        <v>Aluminowa plastik (E23)</v>
      </c>
      <c r="E181" t="s">
        <v>2130</v>
      </c>
      <c r="F181">
        <v>1</v>
      </c>
      <c r="G181" t="str">
        <f>Překlady!$A$150</f>
        <v>Systemu nawijania na mechanizm C3 nie można łączyć z prowadzeniem Classic, zalecamy wybrać inny system nawijania.</v>
      </c>
      <c r="H181" t="str">
        <f>VLOOKUP(A:A,výpočty!$R$14:$S$15,2,FALSE)</f>
        <v>V</v>
      </c>
      <c r="I181" t="str">
        <f>VLOOKUP(B:B,výpočty!$R$9:$S$11,2,FALSE)</f>
        <v>Z</v>
      </c>
      <c r="J181" t="str">
        <f>VLOOKUP(CHYBY!C:C,výpočty!$R$3:$S$7,2,FALSE)</f>
        <v>B</v>
      </c>
      <c r="K181">
        <f>VLOOKUP(D:D,výpočty!$W$3:$X$20,2,FALSE)</f>
        <v>4</v>
      </c>
      <c r="L181" t="str">
        <f t="shared" si="6"/>
        <v>VZB4</v>
      </c>
      <c r="M181" t="str">
        <f t="shared" si="7"/>
        <v>Systemu nawijania na mechanizm C3 nie można łączyć z prowadzeniem Classic, zalecamy wybrać inny system nawijania.</v>
      </c>
      <c r="N181">
        <f t="shared" si="8"/>
        <v>1</v>
      </c>
    </row>
    <row r="182" spans="1:14" ht="13.8" x14ac:dyDescent="0.3">
      <c r="A182" s="255" t="str">
        <f>výpočty!$R$14</f>
        <v>Pionowy (z góry na dół)</v>
      </c>
      <c r="B182" t="str">
        <f>výpočty!$R$11</f>
        <v>Z mecjanizmem C3</v>
      </c>
      <c r="C182" t="str">
        <f>výpočty!$R$4</f>
        <v>Classic - wpuszczany do zafrezowania</v>
      </c>
      <c r="D182" s="36" t="str">
        <f>výpočty!$W$7</f>
        <v>Buk (E23)</v>
      </c>
      <c r="E182" t="s">
        <v>2130</v>
      </c>
      <c r="F182">
        <v>1</v>
      </c>
      <c r="G182" t="str">
        <f>Překlady!$A$150</f>
        <v>Systemu nawijania na mechanizm C3 nie można łączyć z prowadzeniem Classic, zalecamy wybrać inny system nawijania.</v>
      </c>
      <c r="H182" t="str">
        <f>VLOOKUP(A:A,výpočty!$R$14:$S$15,2,FALSE)</f>
        <v>V</v>
      </c>
      <c r="I182" t="str">
        <f>VLOOKUP(B:B,výpočty!$R$9:$S$11,2,FALSE)</f>
        <v>Z</v>
      </c>
      <c r="J182" t="str">
        <f>VLOOKUP(CHYBY!C:C,výpočty!$R$3:$S$7,2,FALSE)</f>
        <v>B</v>
      </c>
      <c r="K182">
        <f>VLOOKUP(D:D,výpočty!$W$3:$X$20,2,FALSE)</f>
        <v>5</v>
      </c>
      <c r="L182" t="str">
        <f t="shared" si="6"/>
        <v>VZB5</v>
      </c>
      <c r="M182" t="str">
        <f t="shared" si="7"/>
        <v>Systemu nawijania na mechanizm C3 nie można łączyć z prowadzeniem Classic, zalecamy wybrać inny system nawijania.</v>
      </c>
      <c r="N182">
        <f t="shared" si="8"/>
        <v>1</v>
      </c>
    </row>
    <row r="183" spans="1:14" ht="13.8" x14ac:dyDescent="0.3">
      <c r="A183" s="255" t="str">
        <f>výpočty!$R$14</f>
        <v>Pionowy (z góry na dół)</v>
      </c>
      <c r="B183" t="str">
        <f>výpočty!$R$11</f>
        <v>Z mecjanizmem C3</v>
      </c>
      <c r="C183" t="str">
        <f>výpočty!$R$4</f>
        <v>Classic - wpuszczany do zafrezowania</v>
      </c>
      <c r="D183" s="36" t="str">
        <f>výpočty!$W$8</f>
        <v>Czereśnia (E23)</v>
      </c>
      <c r="E183" t="s">
        <v>2130</v>
      </c>
      <c r="F183">
        <v>1</v>
      </c>
      <c r="G183" t="str">
        <f>Překlady!$A$150</f>
        <v>Systemu nawijania na mechanizm C3 nie można łączyć z prowadzeniem Classic, zalecamy wybrać inny system nawijania.</v>
      </c>
      <c r="H183" t="str">
        <f>VLOOKUP(A:A,výpočty!$R$14:$S$15,2,FALSE)</f>
        <v>V</v>
      </c>
      <c r="I183" t="str">
        <f>VLOOKUP(B:B,výpočty!$R$9:$S$11,2,FALSE)</f>
        <v>Z</v>
      </c>
      <c r="J183" t="str">
        <f>VLOOKUP(CHYBY!C:C,výpočty!$R$3:$S$7,2,FALSE)</f>
        <v>B</v>
      </c>
      <c r="K183">
        <f>VLOOKUP(D:D,výpočty!$W$3:$X$20,2,FALSE)</f>
        <v>6</v>
      </c>
      <c r="L183" t="str">
        <f t="shared" si="6"/>
        <v>VZB6</v>
      </c>
      <c r="M183" t="str">
        <f t="shared" si="7"/>
        <v>Systemu nawijania na mechanizm C3 nie można łączyć z prowadzeniem Classic, zalecamy wybrać inny system nawijania.</v>
      </c>
      <c r="N183">
        <f t="shared" si="8"/>
        <v>1</v>
      </c>
    </row>
    <row r="184" spans="1:14" ht="13.8" x14ac:dyDescent="0.3">
      <c r="A184" s="255" t="str">
        <f>výpočty!$R$14</f>
        <v>Pionowy (z góry na dół)</v>
      </c>
      <c r="B184" t="str">
        <f>výpočty!$R$11</f>
        <v>Z mecjanizmem C3</v>
      </c>
      <c r="C184" t="str">
        <f>výpočty!$R$4</f>
        <v>Classic - wpuszczany do zafrezowania</v>
      </c>
      <c r="D184" s="36" t="str">
        <f>výpočty!$W$9</f>
        <v>Klon (E23)</v>
      </c>
      <c r="E184" t="s">
        <v>2130</v>
      </c>
      <c r="F184">
        <v>1</v>
      </c>
      <c r="G184" t="str">
        <f>Překlady!$A$150</f>
        <v>Systemu nawijania na mechanizm C3 nie można łączyć z prowadzeniem Classic, zalecamy wybrać inny system nawijania.</v>
      </c>
      <c r="H184" t="str">
        <f>VLOOKUP(A:A,výpočty!$R$14:$S$15,2,FALSE)</f>
        <v>V</v>
      </c>
      <c r="I184" t="str">
        <f>VLOOKUP(B:B,výpočty!$R$9:$S$11,2,FALSE)</f>
        <v>Z</v>
      </c>
      <c r="J184" t="str">
        <f>VLOOKUP(CHYBY!C:C,výpočty!$R$3:$S$7,2,FALSE)</f>
        <v>B</v>
      </c>
      <c r="K184">
        <f>VLOOKUP(D:D,výpočty!$W$3:$X$20,2,FALSE)</f>
        <v>7</v>
      </c>
      <c r="L184" t="str">
        <f t="shared" si="6"/>
        <v>VZB7</v>
      </c>
      <c r="M184" t="str">
        <f t="shared" si="7"/>
        <v>Systemu nawijania na mechanizm C3 nie można łączyć z prowadzeniem Classic, zalecamy wybrać inny system nawijania.</v>
      </c>
      <c r="N184">
        <f t="shared" si="8"/>
        <v>1</v>
      </c>
    </row>
    <row r="185" spans="1:14" ht="13.8" x14ac:dyDescent="0.3">
      <c r="A185" s="255" t="str">
        <f>výpočty!$R$14</f>
        <v>Pionowy (z góry na dół)</v>
      </c>
      <c r="B185" t="str">
        <f>výpočty!$R$11</f>
        <v>Z mecjanizmem C3</v>
      </c>
      <c r="C185" t="str">
        <f>výpočty!$R$4</f>
        <v>Classic - wpuszczany do zafrezowania</v>
      </c>
      <c r="D185" s="36" t="str">
        <f>výpočty!$W$10</f>
        <v>Brzoza (E23)</v>
      </c>
      <c r="E185" t="s">
        <v>2130</v>
      </c>
      <c r="F185">
        <v>1</v>
      </c>
      <c r="G185" t="str">
        <f>Překlady!$A$150</f>
        <v>Systemu nawijania na mechanizm C3 nie można łączyć z prowadzeniem Classic, zalecamy wybrać inny system nawijania.</v>
      </c>
      <c r="H185" t="str">
        <f>VLOOKUP(A:A,výpočty!$R$14:$S$15,2,FALSE)</f>
        <v>V</v>
      </c>
      <c r="I185" t="str">
        <f>VLOOKUP(B:B,výpočty!$R$9:$S$11,2,FALSE)</f>
        <v>Z</v>
      </c>
      <c r="J185" t="str">
        <f>VLOOKUP(CHYBY!C:C,výpočty!$R$3:$S$7,2,FALSE)</f>
        <v>B</v>
      </c>
      <c r="K185">
        <f>VLOOKUP(D:D,výpočty!$W$3:$X$20,2,FALSE)</f>
        <v>8</v>
      </c>
      <c r="L185" t="str">
        <f t="shared" si="6"/>
        <v>VZB8</v>
      </c>
      <c r="M185" t="str">
        <f t="shared" si="7"/>
        <v>Systemu nawijania na mechanizm C3 nie można łączyć z prowadzeniem Classic, zalecamy wybrać inny system nawijania.</v>
      </c>
      <c r="N185">
        <f t="shared" si="8"/>
        <v>1</v>
      </c>
    </row>
    <row r="186" spans="1:14" ht="13.8" x14ac:dyDescent="0.3">
      <c r="A186" s="255" t="str">
        <f>výpočty!$R$14</f>
        <v>Pionowy (z góry na dół)</v>
      </c>
      <c r="B186" t="str">
        <f>výpočty!$R$11</f>
        <v>Z mecjanizmem C3</v>
      </c>
      <c r="C186" t="str">
        <f>výpočty!$R$4</f>
        <v>Classic - wpuszczany do zafrezowania</v>
      </c>
      <c r="D186" s="36" t="str">
        <f>výpočty!$W$11</f>
        <v>Czereśnia havana (E23)</v>
      </c>
      <c r="E186" t="s">
        <v>2130</v>
      </c>
      <c r="F186">
        <v>1</v>
      </c>
      <c r="G186" t="str">
        <f>Překlady!$A$150</f>
        <v>Systemu nawijania na mechanizm C3 nie można łączyć z prowadzeniem Classic, zalecamy wybrać inny system nawijania.</v>
      </c>
      <c r="H186" t="str">
        <f>VLOOKUP(A:A,výpočty!$R$14:$S$15,2,FALSE)</f>
        <v>V</v>
      </c>
      <c r="I186" t="str">
        <f>VLOOKUP(B:B,výpočty!$R$9:$S$11,2,FALSE)</f>
        <v>Z</v>
      </c>
      <c r="J186" t="str">
        <f>VLOOKUP(CHYBY!C:C,výpočty!$R$3:$S$7,2,FALSE)</f>
        <v>B</v>
      </c>
      <c r="K186">
        <f>VLOOKUP(D:D,výpočty!$W$3:$X$20,2,FALSE)</f>
        <v>9</v>
      </c>
      <c r="L186" t="str">
        <f t="shared" si="6"/>
        <v>VZB9</v>
      </c>
      <c r="M186" t="str">
        <f t="shared" si="7"/>
        <v>Systemu nawijania na mechanizm C3 nie można łączyć z prowadzeniem Classic, zalecamy wybrać inny system nawijania.</v>
      </c>
      <c r="N186">
        <f t="shared" si="8"/>
        <v>1</v>
      </c>
    </row>
    <row r="187" spans="1:14" ht="13.8" x14ac:dyDescent="0.3">
      <c r="A187" s="255" t="str">
        <f>výpočty!$R$14</f>
        <v>Pionowy (z góry na dół)</v>
      </c>
      <c r="B187" t="str">
        <f>výpočty!$R$11</f>
        <v>Z mecjanizmem C3</v>
      </c>
      <c r="C187" t="str">
        <f>výpočty!$R$4</f>
        <v>Classic - wpuszczany do zafrezowania</v>
      </c>
      <c r="D187" s="36" t="str">
        <f>výpočty!$W$12</f>
        <v>Calvados (E23)</v>
      </c>
      <c r="E187" t="s">
        <v>2130</v>
      </c>
      <c r="F187">
        <v>1</v>
      </c>
      <c r="G187" t="str">
        <f>Překlady!$A$150</f>
        <v>Systemu nawijania na mechanizm C3 nie można łączyć z prowadzeniem Classic, zalecamy wybrać inny system nawijania.</v>
      </c>
      <c r="H187" t="str">
        <f>VLOOKUP(A:A,výpočty!$R$14:$S$15,2,FALSE)</f>
        <v>V</v>
      </c>
      <c r="I187" t="str">
        <f>VLOOKUP(B:B,výpočty!$R$9:$S$11,2,FALSE)</f>
        <v>Z</v>
      </c>
      <c r="J187" t="str">
        <f>VLOOKUP(CHYBY!C:C,výpočty!$R$3:$S$7,2,FALSE)</f>
        <v>B</v>
      </c>
      <c r="K187">
        <f>VLOOKUP(D:D,výpočty!$W$3:$X$20,2,FALSE)</f>
        <v>10</v>
      </c>
      <c r="L187" t="str">
        <f t="shared" si="6"/>
        <v>VZB10</v>
      </c>
      <c r="M187" t="str">
        <f t="shared" si="7"/>
        <v>Systemu nawijania na mechanizm C3 nie można łączyć z prowadzeniem Classic, zalecamy wybrać inny system nawijania.</v>
      </c>
      <c r="N187">
        <f t="shared" si="8"/>
        <v>1</v>
      </c>
    </row>
    <row r="188" spans="1:14" ht="13.8" x14ac:dyDescent="0.3">
      <c r="A188" s="255" t="str">
        <f>výpočty!$R$14</f>
        <v>Pionowy (z góry na dół)</v>
      </c>
      <c r="B188" t="str">
        <f>výpočty!$R$11</f>
        <v>Z mecjanizmem C3</v>
      </c>
      <c r="C188" t="str">
        <f>výpočty!$R$4</f>
        <v>Classic - wpuszczany do zafrezowania</v>
      </c>
      <c r="D188" s="36" t="str">
        <f>výpočty!$W$14</f>
        <v>śnieżno biala mat (E9)</v>
      </c>
      <c r="E188" t="s">
        <v>2130</v>
      </c>
      <c r="F188">
        <v>1</v>
      </c>
      <c r="G188" t="str">
        <f>Překlady!$A$150</f>
        <v>Systemu nawijania na mechanizm C3 nie można łączyć z prowadzeniem Classic, zalecamy wybrać inny system nawijania.</v>
      </c>
      <c r="H188" t="str">
        <f>VLOOKUP(A:A,výpočty!$R$14:$S$15,2,FALSE)</f>
        <v>V</v>
      </c>
      <c r="I188" t="str">
        <f>VLOOKUP(B:B,výpočty!$R$9:$S$11,2,FALSE)</f>
        <v>Z</v>
      </c>
      <c r="J188" t="str">
        <f>VLOOKUP(CHYBY!C:C,výpočty!$R$3:$S$7,2,FALSE)</f>
        <v>B</v>
      </c>
      <c r="K188">
        <f>VLOOKUP(D:D,výpočty!$W$3:$X$20,2,FALSE)</f>
        <v>12</v>
      </c>
      <c r="L188" t="str">
        <f t="shared" si="6"/>
        <v>VZB12</v>
      </c>
      <c r="M188" t="str">
        <f t="shared" si="7"/>
        <v>Systemu nawijania na mechanizm C3 nie można łączyć z prowadzeniem Classic, zalecamy wybrać inny system nawijania.</v>
      </c>
      <c r="N188">
        <f t="shared" si="8"/>
        <v>1</v>
      </c>
    </row>
    <row r="189" spans="1:14" ht="13.8" x14ac:dyDescent="0.3">
      <c r="A189" s="255" t="str">
        <f>výpočty!$R$14</f>
        <v>Pionowy (z góry na dół)</v>
      </c>
      <c r="B189" t="str">
        <f>výpočty!$R$11</f>
        <v>Z mecjanizmem C3</v>
      </c>
      <c r="C189" t="str">
        <f>výpočty!$R$4</f>
        <v>Classic - wpuszczany do zafrezowania</v>
      </c>
      <c r="D189" s="36" t="str">
        <f>výpočty!$W$15</f>
        <v>Aluminowa plastik (E4)</v>
      </c>
      <c r="E189" t="s">
        <v>2130</v>
      </c>
      <c r="F189">
        <v>1</v>
      </c>
      <c r="G189" s="321" t="str">
        <f>Překlady!$A$143</f>
        <v>Kolor aluminium plastik w profilu E4 jest idealny do poziomych rozwiązań w kombinacji z prowadzeniem Classic z systemem nawijania do tyłu</v>
      </c>
      <c r="H189" t="str">
        <f>VLOOKUP(A:A,výpočty!$R$14:$S$15,2,FALSE)</f>
        <v>V</v>
      </c>
      <c r="I189" t="str">
        <f>VLOOKUP(B:B,výpočty!$R$9:$S$11,2,FALSE)</f>
        <v>Z</v>
      </c>
      <c r="J189" t="str">
        <f>VLOOKUP(CHYBY!C:C,výpočty!$R$3:$S$7,2,FALSE)</f>
        <v>B</v>
      </c>
      <c r="K189">
        <f>VLOOKUP(D:D,výpočty!$W$3:$X$20,2,FALSE)</f>
        <v>13</v>
      </c>
      <c r="L189" t="str">
        <f t="shared" si="6"/>
        <v>VZB13</v>
      </c>
      <c r="M189" t="str">
        <f t="shared" si="7"/>
        <v>Kolor aluminium plastik w profilu E4 jest idealny do poziomych rozwiązań w kombinacji z prowadzeniem Classic z systemem nawijania do tyłu</v>
      </c>
      <c r="N189">
        <f t="shared" si="8"/>
        <v>1</v>
      </c>
    </row>
    <row r="190" spans="1:14" ht="13.8" x14ac:dyDescent="0.3">
      <c r="A190" s="255" t="str">
        <f>výpočty!$R$14</f>
        <v>Pionowy (z góry na dół)</v>
      </c>
      <c r="B190" t="str">
        <f>výpočty!$R$11</f>
        <v>Z mecjanizmem C3</v>
      </c>
      <c r="C190" t="str">
        <f>výpočty!$R$4</f>
        <v>Classic - wpuszczany do zafrezowania</v>
      </c>
      <c r="D190" s="36">
        <f>výpočty!$W$17</f>
        <v>0</v>
      </c>
      <c r="E190" t="s">
        <v>2130</v>
      </c>
      <c r="F190">
        <v>1</v>
      </c>
      <c r="G190" t="str">
        <f>Překlady!$A$150</f>
        <v>Systemu nawijania na mechanizm C3 nie można łączyć z prowadzeniem Classic, zalecamy wybrać inny system nawijania.</v>
      </c>
      <c r="H190" t="str">
        <f>VLOOKUP(A:A,výpočty!$R$14:$S$15,2,FALSE)</f>
        <v>V</v>
      </c>
      <c r="I190" t="str">
        <f>VLOOKUP(B:B,výpočty!$R$9:$S$11,2,FALSE)</f>
        <v>Z</v>
      </c>
      <c r="J190" t="str">
        <f>VLOOKUP(CHYBY!C:C,výpočty!$R$3:$S$7,2,FALSE)</f>
        <v>B</v>
      </c>
      <c r="K190" t="e">
        <f>VLOOKUP(D:D,výpočty!$W$3:$X$20,2,FALSE)</f>
        <v>#N/A</v>
      </c>
      <c r="L190" t="e">
        <f t="shared" si="6"/>
        <v>#N/A</v>
      </c>
      <c r="M190" t="str">
        <f t="shared" si="7"/>
        <v>Systemu nawijania na mechanizm C3 nie można łączyć z prowadzeniem Classic, zalecamy wybrać inny system nawijania.</v>
      </c>
      <c r="N190">
        <f t="shared" si="8"/>
        <v>1</v>
      </c>
    </row>
    <row r="191" spans="1:14" ht="13.8" x14ac:dyDescent="0.3">
      <c r="A191" s="255" t="str">
        <f>výpočty!$R$14</f>
        <v>Pionowy (z góry na dół)</v>
      </c>
      <c r="B191" t="str">
        <f>výpočty!$R$11</f>
        <v>Z mecjanizmem C3</v>
      </c>
      <c r="C191" t="str">
        <f>výpočty!$R$4</f>
        <v>Classic - wpuszczany do zafrezowania</v>
      </c>
      <c r="D191" s="36">
        <f>výpočty!$W$18</f>
        <v>0</v>
      </c>
      <c r="E191" t="s">
        <v>2130</v>
      </c>
      <c r="F191">
        <v>1</v>
      </c>
      <c r="G191" t="str">
        <f>Překlady!$A$150</f>
        <v>Systemu nawijania na mechanizm C3 nie można łączyć z prowadzeniem Classic, zalecamy wybrać inny system nawijania.</v>
      </c>
      <c r="H191" t="str">
        <f>VLOOKUP(A:A,výpočty!$R$14:$S$15,2,FALSE)</f>
        <v>V</v>
      </c>
      <c r="I191" t="str">
        <f>VLOOKUP(B:B,výpočty!$R$9:$S$11,2,FALSE)</f>
        <v>Z</v>
      </c>
      <c r="J191" t="str">
        <f>VLOOKUP(CHYBY!C:C,výpočty!$R$3:$S$7,2,FALSE)</f>
        <v>B</v>
      </c>
      <c r="K191" t="e">
        <f>VLOOKUP(D:D,výpočty!$W$3:$X$20,2,FALSE)</f>
        <v>#N/A</v>
      </c>
      <c r="L191" t="e">
        <f t="shared" si="6"/>
        <v>#N/A</v>
      </c>
      <c r="M191" t="str">
        <f t="shared" si="7"/>
        <v>Systemu nawijania na mechanizm C3 nie można łączyć z prowadzeniem Classic, zalecamy wybrać inny system nawijania.</v>
      </c>
      <c r="N191">
        <f t="shared" si="8"/>
        <v>1</v>
      </c>
    </row>
    <row r="192" spans="1:14" ht="13.8" x14ac:dyDescent="0.3">
      <c r="A192" s="255" t="str">
        <f>výpočty!$R$14</f>
        <v>Pionowy (z góry na dół)</v>
      </c>
      <c r="B192" t="str">
        <f>výpočty!$R$11</f>
        <v>Z mecjanizmem C3</v>
      </c>
      <c r="C192" t="str">
        <f>výpočty!$R$4</f>
        <v>Classic - wpuszczany do zafrezowania</v>
      </c>
      <c r="D192" s="36" t="str">
        <f>výpočty!$W$19</f>
        <v>Aluminium szerokość 25 mm (metallic-line)</v>
      </c>
      <c r="E192" t="s">
        <v>2130</v>
      </c>
      <c r="F192">
        <v>1</v>
      </c>
      <c r="G192" t="str">
        <f>Překlady!$A$150</f>
        <v>Systemu nawijania na mechanizm C3 nie można łączyć z prowadzeniem Classic, zalecamy wybrać inny system nawijania.</v>
      </c>
      <c r="H192" t="str">
        <f>VLOOKUP(A:A,výpočty!$R$14:$S$15,2,FALSE)</f>
        <v>V</v>
      </c>
      <c r="I192" t="str">
        <f>VLOOKUP(B:B,výpočty!$R$9:$S$11,2,FALSE)</f>
        <v>Z</v>
      </c>
      <c r="J192" t="str">
        <f>VLOOKUP(CHYBY!C:C,výpočty!$R$3:$S$7,2,FALSE)</f>
        <v>B</v>
      </c>
      <c r="K192">
        <f>VLOOKUP(D:D,výpočty!$W$3:$X$20,2,FALSE)</f>
        <v>17</v>
      </c>
      <c r="L192" t="str">
        <f t="shared" si="6"/>
        <v>VZB17</v>
      </c>
      <c r="M192" t="str">
        <f t="shared" si="7"/>
        <v>Systemu nawijania na mechanizm C3 nie można łączyć z prowadzeniem Classic, zalecamy wybrać inny system nawijania.</v>
      </c>
      <c r="N192">
        <f t="shared" si="8"/>
        <v>1</v>
      </c>
    </row>
    <row r="193" spans="1:14" ht="14.4" thickBot="1" x14ac:dyDescent="0.35">
      <c r="A193" s="255" t="str">
        <f>výpočty!$R$14</f>
        <v>Pionowy (z góry na dół)</v>
      </c>
      <c r="B193" t="str">
        <f>výpočty!$R$11</f>
        <v>Z mecjanizmem C3</v>
      </c>
      <c r="C193" t="str">
        <f>výpočty!$R$4</f>
        <v>Classic - wpuszczany do zafrezowania</v>
      </c>
      <c r="D193" s="27" t="str">
        <f>výpočty!$W$20</f>
        <v>Nierdz. szerokość 25 mm (metallic-line)</v>
      </c>
      <c r="E193" t="s">
        <v>2130</v>
      </c>
      <c r="F193">
        <v>1</v>
      </c>
      <c r="G193" t="str">
        <f>Překlady!$A$150</f>
        <v>Systemu nawijania na mechanizm C3 nie można łączyć z prowadzeniem Classic, zalecamy wybrać inny system nawijania.</v>
      </c>
      <c r="H193" t="str">
        <f>VLOOKUP(A:A,výpočty!$R$14:$S$15,2,FALSE)</f>
        <v>V</v>
      </c>
      <c r="I193" t="str">
        <f>VLOOKUP(B:B,výpočty!$R$9:$S$11,2,FALSE)</f>
        <v>Z</v>
      </c>
      <c r="J193" t="str">
        <f>VLOOKUP(CHYBY!C:C,výpočty!$R$3:$S$7,2,FALSE)</f>
        <v>B</v>
      </c>
      <c r="K193">
        <f>VLOOKUP(D:D,výpočty!$W$3:$X$20,2,FALSE)</f>
        <v>18</v>
      </c>
      <c r="L193" t="str">
        <f t="shared" si="6"/>
        <v>VZB18</v>
      </c>
      <c r="M193" t="str">
        <f t="shared" si="7"/>
        <v>Systemu nawijania na mechanizm C3 nie można łączyć z prowadzeniem Classic, zalecamy wybrać inny system nawijania.</v>
      </c>
      <c r="N193">
        <f t="shared" si="8"/>
        <v>1</v>
      </c>
    </row>
    <row r="194" spans="1:14" ht="13.8" x14ac:dyDescent="0.3">
      <c r="A194" s="255" t="str">
        <f>výpočty!$R$14</f>
        <v>Pionowy (z góry na dół)</v>
      </c>
      <c r="B194" t="str">
        <f>výpočty!$R$11</f>
        <v>Z mecjanizmem C3</v>
      </c>
      <c r="C194" t="str">
        <f>výpočty!$R$5</f>
        <v>Frame - nakładany z listwą maskującą</v>
      </c>
      <c r="D194" s="26" t="str">
        <f>výpočty!$W$3</f>
        <v>Czarny (E23)</v>
      </c>
      <c r="E194" t="s">
        <v>2129</v>
      </c>
      <c r="F194">
        <v>0</v>
      </c>
      <c r="G194" t="s">
        <v>2139</v>
      </c>
      <c r="H194" t="str">
        <f>VLOOKUP(A:A,výpočty!$R$14:$S$15,2,FALSE)</f>
        <v>V</v>
      </c>
      <c r="I194" t="str">
        <f>VLOOKUP(B:B,výpočty!$R$9:$S$11,2,FALSE)</f>
        <v>Z</v>
      </c>
      <c r="J194" t="str">
        <f>VLOOKUP(CHYBY!C:C,výpočty!$R$3:$S$7,2,FALSE)</f>
        <v>C</v>
      </c>
      <c r="K194">
        <f>VLOOKUP(D:D,výpočty!$W$3:$X$20,2,FALSE)</f>
        <v>1</v>
      </c>
      <c r="L194" t="str">
        <f t="shared" si="6"/>
        <v>VZC1</v>
      </c>
      <c r="M194" t="str">
        <f t="shared" si="7"/>
        <v/>
      </c>
      <c r="N194">
        <f t="shared" si="8"/>
        <v>0</v>
      </c>
    </row>
    <row r="195" spans="1:14" ht="13.8" x14ac:dyDescent="0.3">
      <c r="A195" s="255" t="str">
        <f>výpočty!$R$14</f>
        <v>Pionowy (z góry na dół)</v>
      </c>
      <c r="B195" t="str">
        <f>výpočty!$R$11</f>
        <v>Z mecjanizmem C3</v>
      </c>
      <c r="C195" t="str">
        <f>výpočty!$R$5</f>
        <v>Frame - nakładany z listwą maskującą</v>
      </c>
      <c r="D195" s="36" t="str">
        <f>výpočty!$W$4</f>
        <v>Biały (E23)</v>
      </c>
      <c r="E195" t="s">
        <v>2129</v>
      </c>
      <c r="F195">
        <v>0</v>
      </c>
      <c r="G195" t="s">
        <v>2139</v>
      </c>
      <c r="H195" t="str">
        <f>VLOOKUP(A:A,výpočty!$R$14:$S$15,2,FALSE)</f>
        <v>V</v>
      </c>
      <c r="I195" t="str">
        <f>VLOOKUP(B:B,výpočty!$R$9:$S$11,2,FALSE)</f>
        <v>Z</v>
      </c>
      <c r="J195" t="str">
        <f>VLOOKUP(CHYBY!C:C,výpočty!$R$3:$S$7,2,FALSE)</f>
        <v>C</v>
      </c>
      <c r="K195">
        <f>VLOOKUP(D:D,výpočty!$W$3:$X$20,2,FALSE)</f>
        <v>2</v>
      </c>
      <c r="L195" t="str">
        <f t="shared" ref="L195:L258" si="9">TRIM(CONCATENATE(H195,I195,J195,K195))</f>
        <v>VZC2</v>
      </c>
      <c r="M195" t="str">
        <f t="shared" ref="M195:M258" si="10">IF(G:G="OK","",G:G)</f>
        <v/>
      </c>
      <c r="N195">
        <f t="shared" ref="N195:N258" si="11">F:F</f>
        <v>0</v>
      </c>
    </row>
    <row r="196" spans="1:14" ht="13.8" x14ac:dyDescent="0.3">
      <c r="A196" s="255" t="str">
        <f>výpočty!$R$14</f>
        <v>Pionowy (z góry na dół)</v>
      </c>
      <c r="B196" t="str">
        <f>výpočty!$R$11</f>
        <v>Z mecjanizmem C3</v>
      </c>
      <c r="C196" t="str">
        <f>výpočty!$R$5</f>
        <v>Frame - nakładany z listwą maskującą</v>
      </c>
      <c r="D196" s="36" t="str">
        <f>výpočty!$W$5</f>
        <v>Szary (E23)</v>
      </c>
      <c r="E196" t="s">
        <v>2129</v>
      </c>
      <c r="F196">
        <v>0</v>
      </c>
      <c r="G196" t="s">
        <v>2139</v>
      </c>
      <c r="H196" t="str">
        <f>VLOOKUP(A:A,výpočty!$R$14:$S$15,2,FALSE)</f>
        <v>V</v>
      </c>
      <c r="I196" t="str">
        <f>VLOOKUP(B:B,výpočty!$R$9:$S$11,2,FALSE)</f>
        <v>Z</v>
      </c>
      <c r="J196" t="str">
        <f>VLOOKUP(CHYBY!C:C,výpočty!$R$3:$S$7,2,FALSE)</f>
        <v>C</v>
      </c>
      <c r="K196">
        <f>VLOOKUP(D:D,výpočty!$W$3:$X$20,2,FALSE)</f>
        <v>3</v>
      </c>
      <c r="L196" t="str">
        <f t="shared" si="9"/>
        <v>VZC3</v>
      </c>
      <c r="M196" t="str">
        <f t="shared" si="10"/>
        <v/>
      </c>
      <c r="N196">
        <f t="shared" si="11"/>
        <v>0</v>
      </c>
    </row>
    <row r="197" spans="1:14" ht="13.8" x14ac:dyDescent="0.3">
      <c r="A197" s="255" t="str">
        <f>výpočty!$R$14</f>
        <v>Pionowy (z góry na dół)</v>
      </c>
      <c r="B197" t="str">
        <f>výpočty!$R$11</f>
        <v>Z mecjanizmem C3</v>
      </c>
      <c r="C197" t="str">
        <f>výpočty!$R$5</f>
        <v>Frame - nakładany z listwą maskującą</v>
      </c>
      <c r="D197" s="36" t="str">
        <f>výpočty!$W$6</f>
        <v>Aluminowa plastik (E23)</v>
      </c>
      <c r="E197" t="s">
        <v>2129</v>
      </c>
      <c r="F197">
        <v>0</v>
      </c>
      <c r="G197" t="s">
        <v>2139</v>
      </c>
      <c r="H197" t="str">
        <f>VLOOKUP(A:A,výpočty!$R$14:$S$15,2,FALSE)</f>
        <v>V</v>
      </c>
      <c r="I197" t="str">
        <f>VLOOKUP(B:B,výpočty!$R$9:$S$11,2,FALSE)</f>
        <v>Z</v>
      </c>
      <c r="J197" t="str">
        <f>VLOOKUP(CHYBY!C:C,výpočty!$R$3:$S$7,2,FALSE)</f>
        <v>C</v>
      </c>
      <c r="K197">
        <f>VLOOKUP(D:D,výpočty!$W$3:$X$20,2,FALSE)</f>
        <v>4</v>
      </c>
      <c r="L197" t="str">
        <f t="shared" si="9"/>
        <v>VZC4</v>
      </c>
      <c r="M197" t="str">
        <f t="shared" si="10"/>
        <v/>
      </c>
      <c r="N197">
        <f t="shared" si="11"/>
        <v>0</v>
      </c>
    </row>
    <row r="198" spans="1:14" ht="13.8" x14ac:dyDescent="0.3">
      <c r="A198" s="255" t="str">
        <f>výpočty!$R$14</f>
        <v>Pionowy (z góry na dół)</v>
      </c>
      <c r="B198" t="str">
        <f>výpočty!$R$11</f>
        <v>Z mecjanizmem C3</v>
      </c>
      <c r="C198" t="str">
        <f>výpočty!$R$5</f>
        <v>Frame - nakładany z listwą maskującą</v>
      </c>
      <c r="D198" s="36" t="str">
        <f>výpočty!$W$7</f>
        <v>Buk (E23)</v>
      </c>
      <c r="E198" t="s">
        <v>2130</v>
      </c>
      <c r="F198">
        <v>1</v>
      </c>
      <c r="G198" s="321" t="str">
        <f>Překlady!$A$145</f>
        <v>Koloru BUK w profilu E23 nie da się łączyć z prowadzeniem FRAME.</v>
      </c>
      <c r="H198" t="str">
        <f>VLOOKUP(A:A,výpočty!$R$14:$S$15,2,FALSE)</f>
        <v>V</v>
      </c>
      <c r="I198" t="str">
        <f>VLOOKUP(B:B,výpočty!$R$9:$S$11,2,FALSE)</f>
        <v>Z</v>
      </c>
      <c r="J198" t="str">
        <f>VLOOKUP(CHYBY!C:C,výpočty!$R$3:$S$7,2,FALSE)</f>
        <v>C</v>
      </c>
      <c r="K198">
        <f>VLOOKUP(D:D,výpočty!$W$3:$X$20,2,FALSE)</f>
        <v>5</v>
      </c>
      <c r="L198" t="str">
        <f t="shared" si="9"/>
        <v>VZC5</v>
      </c>
      <c r="M198" t="str">
        <f t="shared" si="10"/>
        <v>Koloru BUK w profilu E23 nie da się łączyć z prowadzeniem FRAME.</v>
      </c>
      <c r="N198">
        <f t="shared" si="11"/>
        <v>1</v>
      </c>
    </row>
    <row r="199" spans="1:14" ht="13.8" x14ac:dyDescent="0.3">
      <c r="A199" s="255" t="str">
        <f>výpočty!$R$14</f>
        <v>Pionowy (z góry na dół)</v>
      </c>
      <c r="B199" t="str">
        <f>výpočty!$R$11</f>
        <v>Z mecjanizmem C3</v>
      </c>
      <c r="C199" t="str">
        <f>výpočty!$R$5</f>
        <v>Frame - nakładany z listwą maskującą</v>
      </c>
      <c r="D199" s="36" t="str">
        <f>výpočty!$W$8</f>
        <v>Czereśnia (E23)</v>
      </c>
      <c r="E199" t="s">
        <v>2129</v>
      </c>
      <c r="F199">
        <v>1</v>
      </c>
      <c r="G199" t="str">
        <f>Překlady!$A$176</f>
        <v>Koloru Czereśnia w profilu E23 nie da się łączyć z prowadzeniem FRAME.</v>
      </c>
      <c r="H199" t="str">
        <f>VLOOKUP(A:A,výpočty!$R$14:$S$15,2,FALSE)</f>
        <v>V</v>
      </c>
      <c r="I199" t="str">
        <f>VLOOKUP(B:B,výpočty!$R$9:$S$11,2,FALSE)</f>
        <v>Z</v>
      </c>
      <c r="J199" t="str">
        <f>VLOOKUP(CHYBY!C:C,výpočty!$R$3:$S$7,2,FALSE)</f>
        <v>C</v>
      </c>
      <c r="K199">
        <f>VLOOKUP(D:D,výpočty!$W$3:$X$20,2,FALSE)</f>
        <v>6</v>
      </c>
      <c r="L199" t="str">
        <f t="shared" si="9"/>
        <v>VZC6</v>
      </c>
      <c r="M199" t="str">
        <f t="shared" si="10"/>
        <v>Koloru Czereśnia w profilu E23 nie da się łączyć z prowadzeniem FRAME.</v>
      </c>
      <c r="N199">
        <f t="shared" si="11"/>
        <v>1</v>
      </c>
    </row>
    <row r="200" spans="1:14" ht="13.8" x14ac:dyDescent="0.3">
      <c r="A200" s="255" t="str">
        <f>výpočty!$R$14</f>
        <v>Pionowy (z góry na dół)</v>
      </c>
      <c r="B200" t="str">
        <f>výpočty!$R$11</f>
        <v>Z mecjanizmem C3</v>
      </c>
      <c r="C200" t="str">
        <f>výpočty!$R$5</f>
        <v>Frame - nakładany z listwą maskującą</v>
      </c>
      <c r="D200" s="36" t="str">
        <f>výpočty!$W$9</f>
        <v>Klon (E23)</v>
      </c>
      <c r="E200" t="s">
        <v>2129</v>
      </c>
      <c r="F200">
        <v>1</v>
      </c>
      <c r="G200" t="str">
        <f>Překlady!$A$177</f>
        <v>Koloru Klon w profilu E23 nie da się łączyć z prowadzeniem FRAME.</v>
      </c>
      <c r="H200" t="str">
        <f>VLOOKUP(A:A,výpočty!$R$14:$S$15,2,FALSE)</f>
        <v>V</v>
      </c>
      <c r="I200" t="str">
        <f>VLOOKUP(B:B,výpočty!$R$9:$S$11,2,FALSE)</f>
        <v>Z</v>
      </c>
      <c r="J200" t="str">
        <f>VLOOKUP(CHYBY!C:C,výpočty!$R$3:$S$7,2,FALSE)</f>
        <v>C</v>
      </c>
      <c r="K200">
        <f>VLOOKUP(D:D,výpočty!$W$3:$X$20,2,FALSE)</f>
        <v>7</v>
      </c>
      <c r="L200" t="str">
        <f t="shared" si="9"/>
        <v>VZC7</v>
      </c>
      <c r="M200" t="str">
        <f t="shared" si="10"/>
        <v>Koloru Klon w profilu E23 nie da się łączyć z prowadzeniem FRAME.</v>
      </c>
      <c r="N200">
        <f t="shared" si="11"/>
        <v>1</v>
      </c>
    </row>
    <row r="201" spans="1:14" ht="13.8" x14ac:dyDescent="0.3">
      <c r="A201" s="255" t="str">
        <f>výpočty!$R$14</f>
        <v>Pionowy (z góry na dół)</v>
      </c>
      <c r="B201" t="str">
        <f>výpočty!$R$11</f>
        <v>Z mecjanizmem C3</v>
      </c>
      <c r="C201" t="str">
        <f>výpočty!$R$5</f>
        <v>Frame - nakładany z listwą maskującą</v>
      </c>
      <c r="D201" s="36" t="str">
        <f>výpočty!$W$10</f>
        <v>Brzoza (E23)</v>
      </c>
      <c r="E201" t="s">
        <v>2129</v>
      </c>
      <c r="F201">
        <v>1</v>
      </c>
      <c r="G201" t="str">
        <f>Překlady!$A$175</f>
        <v>Koloru Brzoza w profilu E23 nie da się łączyć z prowadzeniem FRAME.</v>
      </c>
      <c r="H201" t="str">
        <f>VLOOKUP(A:A,výpočty!$R$14:$S$15,2,FALSE)</f>
        <v>V</v>
      </c>
      <c r="I201" t="str">
        <f>VLOOKUP(B:B,výpočty!$R$9:$S$11,2,FALSE)</f>
        <v>Z</v>
      </c>
      <c r="J201" t="str">
        <f>VLOOKUP(CHYBY!C:C,výpočty!$R$3:$S$7,2,FALSE)</f>
        <v>C</v>
      </c>
      <c r="K201">
        <f>VLOOKUP(D:D,výpočty!$W$3:$X$20,2,FALSE)</f>
        <v>8</v>
      </c>
      <c r="L201" t="str">
        <f t="shared" si="9"/>
        <v>VZC8</v>
      </c>
      <c r="M201" t="str">
        <f t="shared" si="10"/>
        <v>Koloru Brzoza w profilu E23 nie da się łączyć z prowadzeniem FRAME.</v>
      </c>
      <c r="N201">
        <f t="shared" si="11"/>
        <v>1</v>
      </c>
    </row>
    <row r="202" spans="1:14" ht="13.8" x14ac:dyDescent="0.3">
      <c r="A202" s="255" t="str">
        <f>výpočty!$R$14</f>
        <v>Pionowy (z góry na dół)</v>
      </c>
      <c r="B202" t="str">
        <f>výpočty!$R$11</f>
        <v>Z mecjanizmem C3</v>
      </c>
      <c r="C202" t="str">
        <f>výpočty!$R$5</f>
        <v>Frame - nakładany z listwą maskującą</v>
      </c>
      <c r="D202" s="36" t="str">
        <f>výpočty!$W$11</f>
        <v>Czereśnia havana (E23)</v>
      </c>
      <c r="E202" t="s">
        <v>2130</v>
      </c>
      <c r="F202">
        <v>1</v>
      </c>
      <c r="G202" t="str">
        <f>Překlady!$A$170</f>
        <v>Koloru Czereśnia havana w profilu E23 nie da się łączyć z prowadzeniem FRAME.</v>
      </c>
      <c r="H202" t="str">
        <f>VLOOKUP(A:A,výpočty!$R$14:$S$15,2,FALSE)</f>
        <v>V</v>
      </c>
      <c r="I202" t="str">
        <f>VLOOKUP(B:B,výpočty!$R$9:$S$11,2,FALSE)</f>
        <v>Z</v>
      </c>
      <c r="J202" t="str">
        <f>VLOOKUP(CHYBY!C:C,výpočty!$R$3:$S$7,2,FALSE)</f>
        <v>C</v>
      </c>
      <c r="K202">
        <f>VLOOKUP(D:D,výpočty!$W$3:$X$20,2,FALSE)</f>
        <v>9</v>
      </c>
      <c r="L202" t="str">
        <f t="shared" si="9"/>
        <v>VZC9</v>
      </c>
      <c r="M202" t="str">
        <f t="shared" si="10"/>
        <v>Koloru Czereśnia havana w profilu E23 nie da się łączyć z prowadzeniem FRAME.</v>
      </c>
      <c r="N202">
        <f t="shared" si="11"/>
        <v>1</v>
      </c>
    </row>
    <row r="203" spans="1:14" ht="13.8" x14ac:dyDescent="0.3">
      <c r="A203" s="255" t="str">
        <f>výpočty!$R$14</f>
        <v>Pionowy (z góry na dół)</v>
      </c>
      <c r="B203" t="str">
        <f>výpočty!$R$11</f>
        <v>Z mecjanizmem C3</v>
      </c>
      <c r="C203" t="str">
        <f>výpočty!$R$5</f>
        <v>Frame - nakładany z listwą maskującą</v>
      </c>
      <c r="D203" s="36" t="str">
        <f>výpočty!$W$12</f>
        <v>Calvados (E23)</v>
      </c>
      <c r="E203" t="s">
        <v>2129</v>
      </c>
      <c r="F203">
        <v>0</v>
      </c>
      <c r="G203" t="s">
        <v>2139</v>
      </c>
      <c r="H203" t="str">
        <f>VLOOKUP(A:A,výpočty!$R$14:$S$15,2,FALSE)</f>
        <v>V</v>
      </c>
      <c r="I203" t="str">
        <f>VLOOKUP(B:B,výpočty!$R$9:$S$11,2,FALSE)</f>
        <v>Z</v>
      </c>
      <c r="J203" t="str">
        <f>VLOOKUP(CHYBY!C:C,výpočty!$R$3:$S$7,2,FALSE)</f>
        <v>C</v>
      </c>
      <c r="K203">
        <f>VLOOKUP(D:D,výpočty!$W$3:$X$20,2,FALSE)</f>
        <v>10</v>
      </c>
      <c r="L203" t="str">
        <f t="shared" si="9"/>
        <v>VZC10</v>
      </c>
      <c r="M203" t="str">
        <f t="shared" si="10"/>
        <v/>
      </c>
      <c r="N203">
        <f t="shared" si="11"/>
        <v>0</v>
      </c>
    </row>
    <row r="204" spans="1:14" ht="13.8" x14ac:dyDescent="0.3">
      <c r="A204" s="255" t="str">
        <f>výpočty!$R$14</f>
        <v>Pionowy (z góry na dół)</v>
      </c>
      <c r="B204" t="str">
        <f>výpočty!$R$11</f>
        <v>Z mecjanizmem C3</v>
      </c>
      <c r="C204" t="str">
        <f>výpočty!$R$5</f>
        <v>Frame - nakładany z listwą maskującą</v>
      </c>
      <c r="D204" s="350" t="str">
        <f>výpočty!$W$14</f>
        <v>śnieżno biala mat (E9)</v>
      </c>
      <c r="E204" s="321" t="s">
        <v>2130</v>
      </c>
      <c r="F204" s="321">
        <v>1</v>
      </c>
      <c r="G204" s="321" t="str">
        <f>Překlady!$A$142</f>
        <v>Kolor śnieżno biały w profilu E9 można łączyć jedynie z prowadzeniem Classic i systemem nawijania do tyłu</v>
      </c>
      <c r="H204" t="str">
        <f>VLOOKUP(A:A,výpočty!$R$14:$S$15,2,FALSE)</f>
        <v>V</v>
      </c>
      <c r="I204" t="str">
        <f>VLOOKUP(B:B,výpočty!$R$9:$S$11,2,FALSE)</f>
        <v>Z</v>
      </c>
      <c r="J204" t="str">
        <f>VLOOKUP(CHYBY!C:C,výpočty!$R$3:$S$7,2,FALSE)</f>
        <v>C</v>
      </c>
      <c r="K204">
        <f>VLOOKUP(D:D,výpočty!$W$3:$X$20,2,FALSE)</f>
        <v>12</v>
      </c>
      <c r="L204" t="str">
        <f t="shared" si="9"/>
        <v>VZC12</v>
      </c>
      <c r="M204" t="str">
        <f t="shared" si="10"/>
        <v>Kolor śnieżno biały w profilu E9 można łączyć jedynie z prowadzeniem Classic i systemem nawijania do tyłu</v>
      </c>
      <c r="N204">
        <f t="shared" si="11"/>
        <v>1</v>
      </c>
    </row>
    <row r="205" spans="1:14" ht="13.8" x14ac:dyDescent="0.3">
      <c r="A205" s="255" t="str">
        <f>výpočty!$R$14</f>
        <v>Pionowy (z góry na dół)</v>
      </c>
      <c r="B205" t="str">
        <f>výpočty!$R$11</f>
        <v>Z mecjanizmem C3</v>
      </c>
      <c r="C205" t="str">
        <f>výpočty!$R$5</f>
        <v>Frame - nakładany z listwą maskującą</v>
      </c>
      <c r="D205" s="36" t="str">
        <f>výpočty!$W$15</f>
        <v>Aluminowa plastik (E4)</v>
      </c>
      <c r="E205" s="321" t="s">
        <v>2130</v>
      </c>
      <c r="F205" s="321">
        <v>1</v>
      </c>
      <c r="G205" s="321" t="str">
        <f>Překlady!$A$143</f>
        <v>Kolor aluminium plastik w profilu E4 jest idealny do poziomych rozwiązań w kombinacji z prowadzeniem Classic z systemem nawijania do tyłu</v>
      </c>
      <c r="H205" t="str">
        <f>VLOOKUP(A:A,výpočty!$R$14:$S$15,2,FALSE)</f>
        <v>V</v>
      </c>
      <c r="I205" t="str">
        <f>VLOOKUP(B:B,výpočty!$R$9:$S$11,2,FALSE)</f>
        <v>Z</v>
      </c>
      <c r="J205" t="str">
        <f>VLOOKUP(CHYBY!C:C,výpočty!$R$3:$S$7,2,FALSE)</f>
        <v>C</v>
      </c>
      <c r="K205">
        <f>VLOOKUP(D:D,výpočty!$W$3:$X$20,2,FALSE)</f>
        <v>13</v>
      </c>
      <c r="L205" t="str">
        <f t="shared" si="9"/>
        <v>VZC13</v>
      </c>
      <c r="M205" t="str">
        <f t="shared" si="10"/>
        <v>Kolor aluminium plastik w profilu E4 jest idealny do poziomych rozwiązań w kombinacji z prowadzeniem Classic z systemem nawijania do tyłu</v>
      </c>
      <c r="N205">
        <f t="shared" si="11"/>
        <v>1</v>
      </c>
    </row>
    <row r="206" spans="1:14" ht="13.8" x14ac:dyDescent="0.3">
      <c r="A206" s="255" t="str">
        <f>výpočty!$R$14</f>
        <v>Pionowy (z góry na dół)</v>
      </c>
      <c r="B206" t="str">
        <f>výpočty!$R$11</f>
        <v>Z mecjanizmem C3</v>
      </c>
      <c r="C206" t="str">
        <f>výpočty!$R$5</f>
        <v>Frame - nakładany z listwą maskującą</v>
      </c>
      <c r="D206" s="36">
        <f>výpočty!$W$17</f>
        <v>0</v>
      </c>
      <c r="E206" t="s">
        <v>2129</v>
      </c>
      <c r="F206">
        <v>0</v>
      </c>
      <c r="G206" t="s">
        <v>2139</v>
      </c>
      <c r="H206" t="str">
        <f>VLOOKUP(A:A,výpočty!$R$14:$S$15,2,FALSE)</f>
        <v>V</v>
      </c>
      <c r="I206" t="str">
        <f>VLOOKUP(B:B,výpočty!$R$9:$S$11,2,FALSE)</f>
        <v>Z</v>
      </c>
      <c r="J206" t="str">
        <f>VLOOKUP(CHYBY!C:C,výpočty!$R$3:$S$7,2,FALSE)</f>
        <v>C</v>
      </c>
      <c r="K206" t="e">
        <f>VLOOKUP(D:D,výpočty!$W$3:$X$20,2,FALSE)</f>
        <v>#N/A</v>
      </c>
      <c r="L206" t="e">
        <f t="shared" si="9"/>
        <v>#N/A</v>
      </c>
      <c r="M206" t="str">
        <f t="shared" si="10"/>
        <v/>
      </c>
      <c r="N206">
        <f t="shared" si="11"/>
        <v>0</v>
      </c>
    </row>
    <row r="207" spans="1:14" ht="13.8" x14ac:dyDescent="0.3">
      <c r="A207" s="255" t="str">
        <f>výpočty!$R$14</f>
        <v>Pionowy (z góry na dół)</v>
      </c>
      <c r="B207" t="str">
        <f>výpočty!$R$11</f>
        <v>Z mecjanizmem C3</v>
      </c>
      <c r="C207" t="str">
        <f>výpočty!$R$5</f>
        <v>Frame - nakładany z listwą maskującą</v>
      </c>
      <c r="D207" s="36">
        <f>výpočty!$W$18</f>
        <v>0</v>
      </c>
      <c r="E207" t="s">
        <v>2129</v>
      </c>
      <c r="F207">
        <v>0</v>
      </c>
      <c r="G207" t="s">
        <v>2139</v>
      </c>
      <c r="H207" t="str">
        <f>VLOOKUP(A:A,výpočty!$R$14:$S$15,2,FALSE)</f>
        <v>V</v>
      </c>
      <c r="I207" t="str">
        <f>VLOOKUP(B:B,výpočty!$R$9:$S$11,2,FALSE)</f>
        <v>Z</v>
      </c>
      <c r="J207" t="str">
        <f>VLOOKUP(CHYBY!C:C,výpočty!$R$3:$S$7,2,FALSE)</f>
        <v>C</v>
      </c>
      <c r="K207" t="e">
        <f>VLOOKUP(D:D,výpočty!$W$3:$X$20,2,FALSE)</f>
        <v>#N/A</v>
      </c>
      <c r="L207" t="e">
        <f t="shared" si="9"/>
        <v>#N/A</v>
      </c>
      <c r="M207" t="str">
        <f t="shared" si="10"/>
        <v/>
      </c>
      <c r="N207">
        <f t="shared" si="11"/>
        <v>0</v>
      </c>
    </row>
    <row r="208" spans="1:14" ht="13.8" x14ac:dyDescent="0.3">
      <c r="A208" s="255" t="str">
        <f>výpočty!$R$14</f>
        <v>Pionowy (z góry na dół)</v>
      </c>
      <c r="B208" t="str">
        <f>výpočty!$R$11</f>
        <v>Z mecjanizmem C3</v>
      </c>
      <c r="C208" t="str">
        <f>výpočty!$R$5</f>
        <v>Frame - nakładany z listwą maskującą</v>
      </c>
      <c r="D208" s="36" t="str">
        <f>výpočty!$W$19</f>
        <v>Aluminium szerokość 25 mm (metallic-line)</v>
      </c>
      <c r="E208" t="s">
        <v>2129</v>
      </c>
      <c r="F208">
        <v>0</v>
      </c>
      <c r="G208" t="s">
        <v>2139</v>
      </c>
      <c r="H208" t="str">
        <f>VLOOKUP(A:A,výpočty!$R$14:$S$15,2,FALSE)</f>
        <v>V</v>
      </c>
      <c r="I208" t="str">
        <f>VLOOKUP(B:B,výpočty!$R$9:$S$11,2,FALSE)</f>
        <v>Z</v>
      </c>
      <c r="J208" t="str">
        <f>VLOOKUP(CHYBY!C:C,výpočty!$R$3:$S$7,2,FALSE)</f>
        <v>C</v>
      </c>
      <c r="K208">
        <f>VLOOKUP(D:D,výpočty!$W$3:$X$20,2,FALSE)</f>
        <v>17</v>
      </c>
      <c r="L208" t="str">
        <f t="shared" si="9"/>
        <v>VZC17</v>
      </c>
      <c r="M208" t="str">
        <f t="shared" si="10"/>
        <v/>
      </c>
      <c r="N208">
        <f t="shared" si="11"/>
        <v>0</v>
      </c>
    </row>
    <row r="209" spans="1:14" ht="14.4" thickBot="1" x14ac:dyDescent="0.35">
      <c r="A209" s="255" t="str">
        <f>výpočty!$R$14</f>
        <v>Pionowy (z góry na dół)</v>
      </c>
      <c r="B209" t="str">
        <f>výpočty!$R$11</f>
        <v>Z mecjanizmem C3</v>
      </c>
      <c r="C209" t="str">
        <f>výpočty!$R$5</f>
        <v>Frame - nakładany z listwą maskującą</v>
      </c>
      <c r="D209" s="27" t="str">
        <f>výpočty!$W$20</f>
        <v>Nierdz. szerokość 25 mm (metallic-line)</v>
      </c>
      <c r="E209" t="s">
        <v>2129</v>
      </c>
      <c r="F209">
        <v>0</v>
      </c>
      <c r="G209" t="s">
        <v>2139</v>
      </c>
      <c r="H209" t="str">
        <f>VLOOKUP(A:A,výpočty!$R$14:$S$15,2,FALSE)</f>
        <v>V</v>
      </c>
      <c r="I209" t="str">
        <f>VLOOKUP(B:B,výpočty!$R$9:$S$11,2,FALSE)</f>
        <v>Z</v>
      </c>
      <c r="J209" t="str">
        <f>VLOOKUP(CHYBY!C:C,výpočty!$R$3:$S$7,2,FALSE)</f>
        <v>C</v>
      </c>
      <c r="K209">
        <f>VLOOKUP(D:D,výpočty!$W$3:$X$20,2,FALSE)</f>
        <v>18</v>
      </c>
      <c r="L209" t="str">
        <f t="shared" si="9"/>
        <v>VZC18</v>
      </c>
      <c r="M209" t="str">
        <f t="shared" si="10"/>
        <v/>
      </c>
      <c r="N209">
        <f t="shared" si="11"/>
        <v>0</v>
      </c>
    </row>
    <row r="210" spans="1:14" ht="13.8" x14ac:dyDescent="0.3">
      <c r="A210" s="255" t="str">
        <f>výpočty!$R$14</f>
        <v>Pionowy (z góry na dół)</v>
      </c>
      <c r="B210" t="str">
        <f>výpočty!$R$11</f>
        <v>Z mecjanizmem C3</v>
      </c>
      <c r="C210" t="str">
        <f>výpočty!$R$6</f>
        <v>TOP - wpuszczany do przykręcenia metalowy z listwą maskującą</v>
      </c>
      <c r="D210" s="26" t="str">
        <f>výpočty!$W$3</f>
        <v>Czarny (E23)</v>
      </c>
      <c r="E210" t="s">
        <v>2129</v>
      </c>
      <c r="F210">
        <v>0</v>
      </c>
      <c r="G210" t="s">
        <v>2139</v>
      </c>
      <c r="H210" t="str">
        <f>VLOOKUP(A:A,výpočty!$R$14:$S$15,2,FALSE)</f>
        <v>V</v>
      </c>
      <c r="I210" t="str">
        <f>VLOOKUP(B:B,výpočty!$R$9:$S$11,2,FALSE)</f>
        <v>Z</v>
      </c>
      <c r="J210" t="str">
        <f>VLOOKUP(CHYBY!C:C,výpočty!$R$3:$S$7,2,FALSE)</f>
        <v>D</v>
      </c>
      <c r="K210">
        <f>VLOOKUP(D:D,výpočty!$W$3:$X$20,2,FALSE)</f>
        <v>1</v>
      </c>
      <c r="L210" t="str">
        <f t="shared" si="9"/>
        <v>VZD1</v>
      </c>
      <c r="M210" t="str">
        <f t="shared" si="10"/>
        <v/>
      </c>
      <c r="N210">
        <f t="shared" si="11"/>
        <v>0</v>
      </c>
    </row>
    <row r="211" spans="1:14" ht="13.8" x14ac:dyDescent="0.3">
      <c r="A211" s="255" t="str">
        <f>výpočty!$R$14</f>
        <v>Pionowy (z góry na dół)</v>
      </c>
      <c r="B211" t="str">
        <f>výpočty!$R$11</f>
        <v>Z mecjanizmem C3</v>
      </c>
      <c r="C211" t="str">
        <f>výpočty!$R$6</f>
        <v>TOP - wpuszczany do przykręcenia metalowy z listwą maskującą</v>
      </c>
      <c r="D211" s="36" t="str">
        <f>výpočty!$W$4</f>
        <v>Biały (E23)</v>
      </c>
      <c r="E211" t="s">
        <v>2129</v>
      </c>
      <c r="F211">
        <v>0</v>
      </c>
      <c r="G211" t="s">
        <v>2139</v>
      </c>
      <c r="H211" t="str">
        <f>VLOOKUP(A:A,výpočty!$R$14:$S$15,2,FALSE)</f>
        <v>V</v>
      </c>
      <c r="I211" t="str">
        <f>VLOOKUP(B:B,výpočty!$R$9:$S$11,2,FALSE)</f>
        <v>Z</v>
      </c>
      <c r="J211" t="str">
        <f>VLOOKUP(CHYBY!C:C,výpočty!$R$3:$S$7,2,FALSE)</f>
        <v>D</v>
      </c>
      <c r="K211">
        <f>VLOOKUP(D:D,výpočty!$W$3:$X$20,2,FALSE)</f>
        <v>2</v>
      </c>
      <c r="L211" t="str">
        <f t="shared" si="9"/>
        <v>VZD2</v>
      </c>
      <c r="M211" t="str">
        <f t="shared" si="10"/>
        <v/>
      </c>
      <c r="N211">
        <f t="shared" si="11"/>
        <v>0</v>
      </c>
    </row>
    <row r="212" spans="1:14" ht="13.8" x14ac:dyDescent="0.3">
      <c r="A212" s="255" t="str">
        <f>výpočty!$R$14</f>
        <v>Pionowy (z góry na dół)</v>
      </c>
      <c r="B212" t="str">
        <f>výpočty!$R$11</f>
        <v>Z mecjanizmem C3</v>
      </c>
      <c r="C212" t="str">
        <f>výpočty!$R$6</f>
        <v>TOP - wpuszczany do przykręcenia metalowy z listwą maskującą</v>
      </c>
      <c r="D212" s="36" t="str">
        <f>výpočty!$W$5</f>
        <v>Szary (E23)</v>
      </c>
      <c r="E212" t="s">
        <v>2129</v>
      </c>
      <c r="F212">
        <v>0</v>
      </c>
      <c r="G212" t="s">
        <v>2139</v>
      </c>
      <c r="H212" t="str">
        <f>VLOOKUP(A:A,výpočty!$R$14:$S$15,2,FALSE)</f>
        <v>V</v>
      </c>
      <c r="I212" t="str">
        <f>VLOOKUP(B:B,výpočty!$R$9:$S$11,2,FALSE)</f>
        <v>Z</v>
      </c>
      <c r="J212" t="str">
        <f>VLOOKUP(CHYBY!C:C,výpočty!$R$3:$S$7,2,FALSE)</f>
        <v>D</v>
      </c>
      <c r="K212">
        <f>VLOOKUP(D:D,výpočty!$W$3:$X$20,2,FALSE)</f>
        <v>3</v>
      </c>
      <c r="L212" t="str">
        <f t="shared" si="9"/>
        <v>VZD3</v>
      </c>
      <c r="M212" t="str">
        <f t="shared" si="10"/>
        <v/>
      </c>
      <c r="N212">
        <f t="shared" si="11"/>
        <v>0</v>
      </c>
    </row>
    <row r="213" spans="1:14" ht="13.8" x14ac:dyDescent="0.3">
      <c r="A213" s="255" t="str">
        <f>výpočty!$R$14</f>
        <v>Pionowy (z góry na dół)</v>
      </c>
      <c r="B213" t="str">
        <f>výpočty!$R$11</f>
        <v>Z mecjanizmem C3</v>
      </c>
      <c r="C213" t="str">
        <f>výpočty!$R$6</f>
        <v>TOP - wpuszczany do przykręcenia metalowy z listwą maskującą</v>
      </c>
      <c r="D213" s="36" t="str">
        <f>výpočty!$W$6</f>
        <v>Aluminowa plastik (E23)</v>
      </c>
      <c r="E213" t="s">
        <v>2129</v>
      </c>
      <c r="F213">
        <v>0</v>
      </c>
      <c r="G213" t="s">
        <v>2139</v>
      </c>
      <c r="H213" t="str">
        <f>VLOOKUP(A:A,výpočty!$R$14:$S$15,2,FALSE)</f>
        <v>V</v>
      </c>
      <c r="I213" t="str">
        <f>VLOOKUP(B:B,výpočty!$R$9:$S$11,2,FALSE)</f>
        <v>Z</v>
      </c>
      <c r="J213" t="str">
        <f>VLOOKUP(CHYBY!C:C,výpočty!$R$3:$S$7,2,FALSE)</f>
        <v>D</v>
      </c>
      <c r="K213">
        <f>VLOOKUP(D:D,výpočty!$W$3:$X$20,2,FALSE)</f>
        <v>4</v>
      </c>
      <c r="L213" t="str">
        <f t="shared" si="9"/>
        <v>VZD4</v>
      </c>
      <c r="M213" t="str">
        <f t="shared" si="10"/>
        <v/>
      </c>
      <c r="N213">
        <f t="shared" si="11"/>
        <v>0</v>
      </c>
    </row>
    <row r="214" spans="1:14" ht="13.8" x14ac:dyDescent="0.3">
      <c r="A214" s="255" t="str">
        <f>výpočty!$R$14</f>
        <v>Pionowy (z góry na dół)</v>
      </c>
      <c r="B214" t="str">
        <f>výpočty!$R$11</f>
        <v>Z mecjanizmem C3</v>
      </c>
      <c r="C214" t="str">
        <f>výpočty!$R$6</f>
        <v>TOP - wpuszczany do przykręcenia metalowy z listwą maskującą</v>
      </c>
      <c r="D214" s="36" t="str">
        <f>výpočty!$W$7</f>
        <v>Buk (E23)</v>
      </c>
      <c r="E214" t="s">
        <v>2129</v>
      </c>
      <c r="F214">
        <v>0</v>
      </c>
      <c r="G214" t="s">
        <v>2139</v>
      </c>
      <c r="H214" t="str">
        <f>VLOOKUP(A:A,výpočty!$R$14:$S$15,2,FALSE)</f>
        <v>V</v>
      </c>
      <c r="I214" t="str">
        <f>VLOOKUP(B:B,výpočty!$R$9:$S$11,2,FALSE)</f>
        <v>Z</v>
      </c>
      <c r="J214" t="str">
        <f>VLOOKUP(CHYBY!C:C,výpočty!$R$3:$S$7,2,FALSE)</f>
        <v>D</v>
      </c>
      <c r="K214">
        <f>VLOOKUP(D:D,výpočty!$W$3:$X$20,2,FALSE)</f>
        <v>5</v>
      </c>
      <c r="L214" t="str">
        <f t="shared" si="9"/>
        <v>VZD5</v>
      </c>
      <c r="M214" t="str">
        <f t="shared" si="10"/>
        <v/>
      </c>
      <c r="N214">
        <f t="shared" si="11"/>
        <v>0</v>
      </c>
    </row>
    <row r="215" spans="1:14" ht="13.8" x14ac:dyDescent="0.3">
      <c r="A215" s="255" t="str">
        <f>výpočty!$R$14</f>
        <v>Pionowy (z góry na dół)</v>
      </c>
      <c r="B215" t="str">
        <f>výpočty!$R$11</f>
        <v>Z mecjanizmem C3</v>
      </c>
      <c r="C215" t="str">
        <f>výpočty!$R$6</f>
        <v>TOP - wpuszczany do przykręcenia metalowy z listwą maskującą</v>
      </c>
      <c r="D215" s="36" t="str">
        <f>výpočty!$W$8</f>
        <v>Czereśnia (E23)</v>
      </c>
      <c r="E215" t="s">
        <v>2129</v>
      </c>
      <c r="F215">
        <v>0</v>
      </c>
      <c r="G215" t="s">
        <v>2139</v>
      </c>
      <c r="H215" t="str">
        <f>VLOOKUP(A:A,výpočty!$R$14:$S$15,2,FALSE)</f>
        <v>V</v>
      </c>
      <c r="I215" t="str">
        <f>VLOOKUP(B:B,výpočty!$R$9:$S$11,2,FALSE)</f>
        <v>Z</v>
      </c>
      <c r="J215" t="str">
        <f>VLOOKUP(CHYBY!C:C,výpočty!$R$3:$S$7,2,FALSE)</f>
        <v>D</v>
      </c>
      <c r="K215">
        <f>VLOOKUP(D:D,výpočty!$W$3:$X$20,2,FALSE)</f>
        <v>6</v>
      </c>
      <c r="L215" t="str">
        <f t="shared" si="9"/>
        <v>VZD6</v>
      </c>
      <c r="M215" t="str">
        <f t="shared" si="10"/>
        <v/>
      </c>
      <c r="N215">
        <f t="shared" si="11"/>
        <v>0</v>
      </c>
    </row>
    <row r="216" spans="1:14" ht="13.8" x14ac:dyDescent="0.3">
      <c r="A216" s="255" t="str">
        <f>výpočty!$R$14</f>
        <v>Pionowy (z góry na dół)</v>
      </c>
      <c r="B216" t="str">
        <f>výpočty!$R$11</f>
        <v>Z mecjanizmem C3</v>
      </c>
      <c r="C216" t="str">
        <f>výpočty!$R$6</f>
        <v>TOP - wpuszczany do przykręcenia metalowy z listwą maskującą</v>
      </c>
      <c r="D216" s="36" t="str">
        <f>výpočty!$W$9</f>
        <v>Klon (E23)</v>
      </c>
      <c r="E216" t="s">
        <v>2129</v>
      </c>
      <c r="F216">
        <v>0</v>
      </c>
      <c r="G216" t="s">
        <v>2139</v>
      </c>
      <c r="H216" t="str">
        <f>VLOOKUP(A:A,výpočty!$R$14:$S$15,2,FALSE)</f>
        <v>V</v>
      </c>
      <c r="I216" t="str">
        <f>VLOOKUP(B:B,výpočty!$R$9:$S$11,2,FALSE)</f>
        <v>Z</v>
      </c>
      <c r="J216" t="str">
        <f>VLOOKUP(CHYBY!C:C,výpočty!$R$3:$S$7,2,FALSE)</f>
        <v>D</v>
      </c>
      <c r="K216">
        <f>VLOOKUP(D:D,výpočty!$W$3:$X$20,2,FALSE)</f>
        <v>7</v>
      </c>
      <c r="L216" t="str">
        <f t="shared" si="9"/>
        <v>VZD7</v>
      </c>
      <c r="M216" t="str">
        <f t="shared" si="10"/>
        <v/>
      </c>
      <c r="N216">
        <f t="shared" si="11"/>
        <v>0</v>
      </c>
    </row>
    <row r="217" spans="1:14" ht="13.8" x14ac:dyDescent="0.3">
      <c r="A217" s="255" t="str">
        <f>výpočty!$R$14</f>
        <v>Pionowy (z góry na dół)</v>
      </c>
      <c r="B217" t="str">
        <f>výpočty!$R$11</f>
        <v>Z mecjanizmem C3</v>
      </c>
      <c r="C217" t="str">
        <f>výpočty!$R$6</f>
        <v>TOP - wpuszczany do przykręcenia metalowy z listwą maskującą</v>
      </c>
      <c r="D217" s="36" t="str">
        <f>výpočty!$W$10</f>
        <v>Brzoza (E23)</v>
      </c>
      <c r="E217" t="s">
        <v>2129</v>
      </c>
      <c r="F217">
        <v>0</v>
      </c>
      <c r="G217" t="s">
        <v>2139</v>
      </c>
      <c r="H217" t="str">
        <f>VLOOKUP(A:A,výpočty!$R$14:$S$15,2,FALSE)</f>
        <v>V</v>
      </c>
      <c r="I217" t="str">
        <f>VLOOKUP(B:B,výpočty!$R$9:$S$11,2,FALSE)</f>
        <v>Z</v>
      </c>
      <c r="J217" t="str">
        <f>VLOOKUP(CHYBY!C:C,výpočty!$R$3:$S$7,2,FALSE)</f>
        <v>D</v>
      </c>
      <c r="K217">
        <f>VLOOKUP(D:D,výpočty!$W$3:$X$20,2,FALSE)</f>
        <v>8</v>
      </c>
      <c r="L217" t="str">
        <f t="shared" si="9"/>
        <v>VZD8</v>
      </c>
      <c r="M217" t="str">
        <f t="shared" si="10"/>
        <v/>
      </c>
      <c r="N217">
        <f t="shared" si="11"/>
        <v>0</v>
      </c>
    </row>
    <row r="218" spans="1:14" ht="13.8" x14ac:dyDescent="0.3">
      <c r="A218" s="255" t="str">
        <f>výpočty!$R$14</f>
        <v>Pionowy (z góry na dół)</v>
      </c>
      <c r="B218" t="str">
        <f>výpočty!$R$11</f>
        <v>Z mecjanizmem C3</v>
      </c>
      <c r="C218" t="str">
        <f>výpočty!$R$6</f>
        <v>TOP - wpuszczany do przykręcenia metalowy z listwą maskującą</v>
      </c>
      <c r="D218" s="36" t="str">
        <f>výpočty!$W$11</f>
        <v>Czereśnia havana (E23)</v>
      </c>
      <c r="E218" t="s">
        <v>2129</v>
      </c>
      <c r="F218">
        <v>0</v>
      </c>
      <c r="G218" t="s">
        <v>2139</v>
      </c>
      <c r="H218" t="str">
        <f>VLOOKUP(A:A,výpočty!$R$14:$S$15,2,FALSE)</f>
        <v>V</v>
      </c>
      <c r="I218" t="str">
        <f>VLOOKUP(B:B,výpočty!$R$9:$S$11,2,FALSE)</f>
        <v>Z</v>
      </c>
      <c r="J218" t="str">
        <f>VLOOKUP(CHYBY!C:C,výpočty!$R$3:$S$7,2,FALSE)</f>
        <v>D</v>
      </c>
      <c r="K218">
        <f>VLOOKUP(D:D,výpočty!$W$3:$X$20,2,FALSE)</f>
        <v>9</v>
      </c>
      <c r="L218" t="str">
        <f t="shared" si="9"/>
        <v>VZD9</v>
      </c>
      <c r="M218" t="str">
        <f t="shared" si="10"/>
        <v/>
      </c>
      <c r="N218">
        <f t="shared" si="11"/>
        <v>0</v>
      </c>
    </row>
    <row r="219" spans="1:14" ht="13.8" x14ac:dyDescent="0.3">
      <c r="A219" s="255" t="str">
        <f>výpočty!$R$14</f>
        <v>Pionowy (z góry na dół)</v>
      </c>
      <c r="B219" t="str">
        <f>výpočty!$R$11</f>
        <v>Z mecjanizmem C3</v>
      </c>
      <c r="C219" t="str">
        <f>výpočty!$R$6</f>
        <v>TOP - wpuszczany do przykręcenia metalowy z listwą maskującą</v>
      </c>
      <c r="D219" s="36" t="str">
        <f>výpočty!$W$12</f>
        <v>Calvados (E23)</v>
      </c>
      <c r="E219" t="s">
        <v>2129</v>
      </c>
      <c r="F219">
        <v>0</v>
      </c>
      <c r="G219" t="s">
        <v>2139</v>
      </c>
      <c r="H219" t="str">
        <f>VLOOKUP(A:A,výpočty!$R$14:$S$15,2,FALSE)</f>
        <v>V</v>
      </c>
      <c r="I219" t="str">
        <f>VLOOKUP(B:B,výpočty!$R$9:$S$11,2,FALSE)</f>
        <v>Z</v>
      </c>
      <c r="J219" t="str">
        <f>VLOOKUP(CHYBY!C:C,výpočty!$R$3:$S$7,2,FALSE)</f>
        <v>D</v>
      </c>
      <c r="K219">
        <f>VLOOKUP(D:D,výpočty!$W$3:$X$20,2,FALSE)</f>
        <v>10</v>
      </c>
      <c r="L219" t="str">
        <f t="shared" si="9"/>
        <v>VZD10</v>
      </c>
      <c r="M219" t="str">
        <f t="shared" si="10"/>
        <v/>
      </c>
      <c r="N219">
        <f t="shared" si="11"/>
        <v>0</v>
      </c>
    </row>
    <row r="220" spans="1:14" ht="13.8" x14ac:dyDescent="0.3">
      <c r="A220" s="255" t="str">
        <f>výpočty!$R$14</f>
        <v>Pionowy (z góry na dół)</v>
      </c>
      <c r="B220" t="str">
        <f>výpočty!$R$11</f>
        <v>Z mecjanizmem C3</v>
      </c>
      <c r="C220" t="str">
        <f>výpočty!$R$6</f>
        <v>TOP - wpuszczany do przykręcenia metalowy z listwą maskującą</v>
      </c>
      <c r="D220" s="350" t="str">
        <f>výpočty!$W$14</f>
        <v>śnieżno biala mat (E9)</v>
      </c>
      <c r="E220" t="s">
        <v>2129</v>
      </c>
      <c r="F220">
        <v>0</v>
      </c>
      <c r="G220" t="s">
        <v>2139</v>
      </c>
      <c r="H220" t="str">
        <f>VLOOKUP(A:A,výpočty!$R$14:$S$15,2,FALSE)</f>
        <v>V</v>
      </c>
      <c r="I220" t="str">
        <f>VLOOKUP(B:B,výpočty!$R$9:$S$11,2,FALSE)</f>
        <v>Z</v>
      </c>
      <c r="J220" t="str">
        <f>VLOOKUP(CHYBY!C:C,výpočty!$R$3:$S$7,2,FALSE)</f>
        <v>D</v>
      </c>
      <c r="K220">
        <f>VLOOKUP(D:D,výpočty!$W$3:$X$20,2,FALSE)</f>
        <v>12</v>
      </c>
      <c r="L220" t="str">
        <f t="shared" si="9"/>
        <v>VZD12</v>
      </c>
      <c r="M220" t="str">
        <f t="shared" si="10"/>
        <v/>
      </c>
      <c r="N220">
        <f t="shared" si="11"/>
        <v>0</v>
      </c>
    </row>
    <row r="221" spans="1:14" ht="13.8" x14ac:dyDescent="0.3">
      <c r="A221" s="255" t="str">
        <f>výpočty!$R$14</f>
        <v>Pionowy (z góry na dół)</v>
      </c>
      <c r="B221" t="str">
        <f>výpočty!$R$11</f>
        <v>Z mecjanizmem C3</v>
      </c>
      <c r="C221" t="str">
        <f>výpočty!$R$6</f>
        <v>TOP - wpuszczany do przykręcenia metalowy z listwą maskującą</v>
      </c>
      <c r="D221" s="36" t="str">
        <f>výpočty!$W$15</f>
        <v>Aluminowa plastik (E4)</v>
      </c>
      <c r="E221" s="321" t="s">
        <v>2130</v>
      </c>
      <c r="F221" s="321">
        <v>1</v>
      </c>
      <c r="G221" s="321" t="str">
        <f>Překlady!$A$143</f>
        <v>Kolor aluminium plastik w profilu E4 jest idealny do poziomych rozwiązań w kombinacji z prowadzeniem Classic z systemem nawijania do tyłu</v>
      </c>
      <c r="H221" t="str">
        <f>VLOOKUP(A:A,výpočty!$R$14:$S$15,2,FALSE)</f>
        <v>V</v>
      </c>
      <c r="I221" t="str">
        <f>VLOOKUP(B:B,výpočty!$R$9:$S$11,2,FALSE)</f>
        <v>Z</v>
      </c>
      <c r="J221" t="str">
        <f>VLOOKUP(CHYBY!C:C,výpočty!$R$3:$S$7,2,FALSE)</f>
        <v>D</v>
      </c>
      <c r="K221">
        <f>VLOOKUP(D:D,výpočty!$W$3:$X$20,2,FALSE)</f>
        <v>13</v>
      </c>
      <c r="L221" t="str">
        <f t="shared" si="9"/>
        <v>VZD13</v>
      </c>
      <c r="M221" t="str">
        <f t="shared" si="10"/>
        <v>Kolor aluminium plastik w profilu E4 jest idealny do poziomych rozwiązań w kombinacji z prowadzeniem Classic z systemem nawijania do tyłu</v>
      </c>
      <c r="N221">
        <f t="shared" si="11"/>
        <v>1</v>
      </c>
    </row>
    <row r="222" spans="1:14" ht="13.8" x14ac:dyDescent="0.3">
      <c r="A222" s="255" t="str">
        <f>výpočty!$R$14</f>
        <v>Pionowy (z góry na dół)</v>
      </c>
      <c r="B222" t="str">
        <f>výpočty!$R$11</f>
        <v>Z mecjanizmem C3</v>
      </c>
      <c r="C222" t="str">
        <f>výpočty!$R$6</f>
        <v>TOP - wpuszczany do przykręcenia metalowy z listwą maskującą</v>
      </c>
      <c r="D222" s="36">
        <f>výpočty!$W$17</f>
        <v>0</v>
      </c>
      <c r="E222" t="s">
        <v>2129</v>
      </c>
      <c r="F222">
        <v>0</v>
      </c>
      <c r="G222" t="s">
        <v>2139</v>
      </c>
      <c r="H222" t="str">
        <f>VLOOKUP(A:A,výpočty!$R$14:$S$15,2,FALSE)</f>
        <v>V</v>
      </c>
      <c r="I222" t="str">
        <f>VLOOKUP(B:B,výpočty!$R$9:$S$11,2,FALSE)</f>
        <v>Z</v>
      </c>
      <c r="J222" t="str">
        <f>VLOOKUP(CHYBY!C:C,výpočty!$R$3:$S$7,2,FALSE)</f>
        <v>D</v>
      </c>
      <c r="K222" t="e">
        <f>VLOOKUP(D:D,výpočty!$W$3:$X$20,2,FALSE)</f>
        <v>#N/A</v>
      </c>
      <c r="L222" t="e">
        <f t="shared" si="9"/>
        <v>#N/A</v>
      </c>
      <c r="M222" t="str">
        <f t="shared" si="10"/>
        <v/>
      </c>
      <c r="N222">
        <f t="shared" si="11"/>
        <v>0</v>
      </c>
    </row>
    <row r="223" spans="1:14" ht="13.8" x14ac:dyDescent="0.3">
      <c r="A223" s="255" t="str">
        <f>výpočty!$R$14</f>
        <v>Pionowy (z góry na dół)</v>
      </c>
      <c r="B223" t="str">
        <f>výpočty!$R$11</f>
        <v>Z mecjanizmem C3</v>
      </c>
      <c r="C223" t="str">
        <f>výpočty!$R$6</f>
        <v>TOP - wpuszczany do przykręcenia metalowy z listwą maskującą</v>
      </c>
      <c r="D223" s="36">
        <f>výpočty!$W$18</f>
        <v>0</v>
      </c>
      <c r="E223" t="s">
        <v>2129</v>
      </c>
      <c r="F223">
        <v>0</v>
      </c>
      <c r="G223" t="s">
        <v>2139</v>
      </c>
      <c r="H223" t="str">
        <f>VLOOKUP(A:A,výpočty!$R$14:$S$15,2,FALSE)</f>
        <v>V</v>
      </c>
      <c r="I223" t="str">
        <f>VLOOKUP(B:B,výpočty!$R$9:$S$11,2,FALSE)</f>
        <v>Z</v>
      </c>
      <c r="J223" t="str">
        <f>VLOOKUP(CHYBY!C:C,výpočty!$R$3:$S$7,2,FALSE)</f>
        <v>D</v>
      </c>
      <c r="K223" t="e">
        <f>VLOOKUP(D:D,výpočty!$W$3:$X$20,2,FALSE)</f>
        <v>#N/A</v>
      </c>
      <c r="L223" t="e">
        <f t="shared" si="9"/>
        <v>#N/A</v>
      </c>
      <c r="M223" t="str">
        <f t="shared" si="10"/>
        <v/>
      </c>
      <c r="N223">
        <f t="shared" si="11"/>
        <v>0</v>
      </c>
    </row>
    <row r="224" spans="1:14" ht="13.8" x14ac:dyDescent="0.3">
      <c r="A224" s="255" t="str">
        <f>výpočty!$R$14</f>
        <v>Pionowy (z góry na dół)</v>
      </c>
      <c r="B224" t="str">
        <f>výpočty!$R$11</f>
        <v>Z mecjanizmem C3</v>
      </c>
      <c r="C224" t="str">
        <f>výpočty!$R$6</f>
        <v>TOP - wpuszczany do przykręcenia metalowy z listwą maskującą</v>
      </c>
      <c r="D224" s="36" t="str">
        <f>výpočty!$W$19</f>
        <v>Aluminium szerokość 25 mm (metallic-line)</v>
      </c>
      <c r="E224" t="s">
        <v>2129</v>
      </c>
      <c r="F224">
        <v>0</v>
      </c>
      <c r="G224" t="s">
        <v>2139</v>
      </c>
      <c r="H224" t="str">
        <f>VLOOKUP(A:A,výpočty!$R$14:$S$15,2,FALSE)</f>
        <v>V</v>
      </c>
      <c r="I224" t="str">
        <f>VLOOKUP(B:B,výpočty!$R$9:$S$11,2,FALSE)</f>
        <v>Z</v>
      </c>
      <c r="J224" t="str">
        <f>VLOOKUP(CHYBY!C:C,výpočty!$R$3:$S$7,2,FALSE)</f>
        <v>D</v>
      </c>
      <c r="K224">
        <f>VLOOKUP(D:D,výpočty!$W$3:$X$20,2,FALSE)</f>
        <v>17</v>
      </c>
      <c r="L224" t="str">
        <f t="shared" si="9"/>
        <v>VZD17</v>
      </c>
      <c r="M224" t="str">
        <f t="shared" si="10"/>
        <v/>
      </c>
      <c r="N224">
        <f t="shared" si="11"/>
        <v>0</v>
      </c>
    </row>
    <row r="225" spans="1:14" ht="14.4" thickBot="1" x14ac:dyDescent="0.35">
      <c r="A225" s="255" t="str">
        <f>výpočty!$R$14</f>
        <v>Pionowy (z góry na dół)</v>
      </c>
      <c r="B225" t="str">
        <f>výpočty!$R$11</f>
        <v>Z mecjanizmem C3</v>
      </c>
      <c r="C225" t="str">
        <f>výpočty!$R$6</f>
        <v>TOP - wpuszczany do przykręcenia metalowy z listwą maskującą</v>
      </c>
      <c r="D225" s="27" t="str">
        <f>výpočty!$W$20</f>
        <v>Nierdz. szerokość 25 mm (metallic-line)</v>
      </c>
      <c r="E225" t="s">
        <v>2129</v>
      </c>
      <c r="F225">
        <v>0</v>
      </c>
      <c r="G225" t="s">
        <v>2139</v>
      </c>
      <c r="H225" t="str">
        <f>VLOOKUP(A:A,výpočty!$R$14:$S$15,2,FALSE)</f>
        <v>V</v>
      </c>
      <c r="I225" t="str">
        <f>VLOOKUP(B:B,výpočty!$R$9:$S$11,2,FALSE)</f>
        <v>Z</v>
      </c>
      <c r="J225" t="str">
        <f>VLOOKUP(CHYBY!C:C,výpočty!$R$3:$S$7,2,FALSE)</f>
        <v>D</v>
      </c>
      <c r="K225">
        <f>VLOOKUP(D:D,výpočty!$W$3:$X$20,2,FALSE)</f>
        <v>18</v>
      </c>
      <c r="L225" t="str">
        <f t="shared" si="9"/>
        <v>VZD18</v>
      </c>
      <c r="M225" t="str">
        <f t="shared" si="10"/>
        <v/>
      </c>
      <c r="N225">
        <f t="shared" si="11"/>
        <v>0</v>
      </c>
    </row>
    <row r="226" spans="1:14" ht="13.8" x14ac:dyDescent="0.3">
      <c r="A226" s="255" t="str">
        <f>výpočty!$R$14</f>
        <v>Pionowy (z góry na dół)</v>
      </c>
      <c r="B226" t="str">
        <f>výpočty!$R$11</f>
        <v>Z mecjanizmem C3</v>
      </c>
      <c r="C226" t="str">
        <f>výpočty!$R$7</f>
        <v>Nakładany z prowadzeniem metalic-line 29 mm i mechanimem C3</v>
      </c>
      <c r="D226" s="26" t="str">
        <f>výpočty!$W$3</f>
        <v>Czarny (E23)</v>
      </c>
      <c r="E226" t="s">
        <v>2130</v>
      </c>
      <c r="F226">
        <v>1</v>
      </c>
      <c r="G226" s="321" t="str">
        <f>Překlady!$A$151</f>
        <v>Nakładany system prowadzenia z metalic-line 29 mm i mechanizmem C3 zalecamy łaczyć tylko z profilem Metallic Line.</v>
      </c>
      <c r="H226" t="str">
        <f>VLOOKUP(A:A,výpočty!$R$14:$S$15,2,FALSE)</f>
        <v>V</v>
      </c>
      <c r="I226" t="str">
        <f>VLOOKUP(B:B,výpočty!$R$9:$S$11,2,FALSE)</f>
        <v>Z</v>
      </c>
      <c r="J226" t="str">
        <f>VLOOKUP(CHYBY!C:C,výpočty!$R$3:$S$7,2,FALSE)</f>
        <v>E</v>
      </c>
      <c r="K226">
        <f>VLOOKUP(D:D,výpočty!$W$3:$X$20,2,FALSE)</f>
        <v>1</v>
      </c>
      <c r="L226" t="str">
        <f t="shared" si="9"/>
        <v>VZE1</v>
      </c>
      <c r="M226" t="str">
        <f t="shared" si="10"/>
        <v>Nakładany system prowadzenia z metalic-line 29 mm i mechanizmem C3 zalecamy łaczyć tylko z profilem Metallic Line.</v>
      </c>
      <c r="N226">
        <f t="shared" si="11"/>
        <v>1</v>
      </c>
    </row>
    <row r="227" spans="1:14" ht="13.8" x14ac:dyDescent="0.3">
      <c r="A227" s="255" t="str">
        <f>výpočty!$R$14</f>
        <v>Pionowy (z góry na dół)</v>
      </c>
      <c r="B227" t="str">
        <f>výpočty!$R$11</f>
        <v>Z mecjanizmem C3</v>
      </c>
      <c r="C227" t="str">
        <f>výpočty!$R$7</f>
        <v>Nakładany z prowadzeniem metalic-line 29 mm i mechanimem C3</v>
      </c>
      <c r="D227" s="36" t="str">
        <f>výpočty!$W$4</f>
        <v>Biały (E23)</v>
      </c>
      <c r="E227" t="s">
        <v>2130</v>
      </c>
      <c r="F227">
        <v>1</v>
      </c>
      <c r="G227" s="321" t="str">
        <f>Překlady!$A$151</f>
        <v>Nakładany system prowadzenia z metalic-line 29 mm i mechanizmem C3 zalecamy łaczyć tylko z profilem Metallic Line.</v>
      </c>
      <c r="H227" t="str">
        <f>VLOOKUP(A:A,výpočty!$R$14:$S$15,2,FALSE)</f>
        <v>V</v>
      </c>
      <c r="I227" t="str">
        <f>VLOOKUP(B:B,výpočty!$R$9:$S$11,2,FALSE)</f>
        <v>Z</v>
      </c>
      <c r="J227" t="str">
        <f>VLOOKUP(CHYBY!C:C,výpočty!$R$3:$S$7,2,FALSE)</f>
        <v>E</v>
      </c>
      <c r="K227">
        <f>VLOOKUP(D:D,výpočty!$W$3:$X$20,2,FALSE)</f>
        <v>2</v>
      </c>
      <c r="L227" t="str">
        <f t="shared" si="9"/>
        <v>VZE2</v>
      </c>
      <c r="M227" t="str">
        <f t="shared" si="10"/>
        <v>Nakładany system prowadzenia z metalic-line 29 mm i mechanizmem C3 zalecamy łaczyć tylko z profilem Metallic Line.</v>
      </c>
      <c r="N227">
        <f t="shared" si="11"/>
        <v>1</v>
      </c>
    </row>
    <row r="228" spans="1:14" ht="13.8" x14ac:dyDescent="0.3">
      <c r="A228" s="255" t="str">
        <f>výpočty!$R$14</f>
        <v>Pionowy (z góry na dół)</v>
      </c>
      <c r="B228" t="str">
        <f>výpočty!$R$11</f>
        <v>Z mecjanizmem C3</v>
      </c>
      <c r="C228" t="str">
        <f>výpočty!$R$7</f>
        <v>Nakładany z prowadzeniem metalic-line 29 mm i mechanimem C3</v>
      </c>
      <c r="D228" s="36" t="str">
        <f>výpočty!$W$5</f>
        <v>Szary (E23)</v>
      </c>
      <c r="E228" t="s">
        <v>2130</v>
      </c>
      <c r="F228">
        <v>1</v>
      </c>
      <c r="G228" s="321" t="str">
        <f>Překlady!$A$151</f>
        <v>Nakładany system prowadzenia z metalic-line 29 mm i mechanizmem C3 zalecamy łaczyć tylko z profilem Metallic Line.</v>
      </c>
      <c r="H228" t="str">
        <f>VLOOKUP(A:A,výpočty!$R$14:$S$15,2,FALSE)</f>
        <v>V</v>
      </c>
      <c r="I228" t="str">
        <f>VLOOKUP(B:B,výpočty!$R$9:$S$11,2,FALSE)</f>
        <v>Z</v>
      </c>
      <c r="J228" t="str">
        <f>VLOOKUP(CHYBY!C:C,výpočty!$R$3:$S$7,2,FALSE)</f>
        <v>E</v>
      </c>
      <c r="K228">
        <f>VLOOKUP(D:D,výpočty!$W$3:$X$20,2,FALSE)</f>
        <v>3</v>
      </c>
      <c r="L228" t="str">
        <f t="shared" si="9"/>
        <v>VZE3</v>
      </c>
      <c r="M228" t="str">
        <f t="shared" si="10"/>
        <v>Nakładany system prowadzenia z metalic-line 29 mm i mechanizmem C3 zalecamy łaczyć tylko z profilem Metallic Line.</v>
      </c>
      <c r="N228">
        <f t="shared" si="11"/>
        <v>1</v>
      </c>
    </row>
    <row r="229" spans="1:14" ht="13.8" x14ac:dyDescent="0.3">
      <c r="A229" s="255" t="str">
        <f>výpočty!$R$14</f>
        <v>Pionowy (z góry na dół)</v>
      </c>
      <c r="B229" t="str">
        <f>výpočty!$R$11</f>
        <v>Z mecjanizmem C3</v>
      </c>
      <c r="C229" t="str">
        <f>výpočty!$R$7</f>
        <v>Nakładany z prowadzeniem metalic-line 29 mm i mechanimem C3</v>
      </c>
      <c r="D229" s="36" t="str">
        <f>výpočty!$W$6</f>
        <v>Aluminowa plastik (E23)</v>
      </c>
      <c r="E229" t="s">
        <v>2130</v>
      </c>
      <c r="F229">
        <v>1</v>
      </c>
      <c r="G229" s="321" t="str">
        <f>Překlady!$A$151</f>
        <v>Nakładany system prowadzenia z metalic-line 29 mm i mechanizmem C3 zalecamy łaczyć tylko z profilem Metallic Line.</v>
      </c>
      <c r="H229" t="str">
        <f>VLOOKUP(A:A,výpočty!$R$14:$S$15,2,FALSE)</f>
        <v>V</v>
      </c>
      <c r="I229" t="str">
        <f>VLOOKUP(B:B,výpočty!$R$9:$S$11,2,FALSE)</f>
        <v>Z</v>
      </c>
      <c r="J229" t="str">
        <f>VLOOKUP(CHYBY!C:C,výpočty!$R$3:$S$7,2,FALSE)</f>
        <v>E</v>
      </c>
      <c r="K229">
        <f>VLOOKUP(D:D,výpočty!$W$3:$X$20,2,FALSE)</f>
        <v>4</v>
      </c>
      <c r="L229" t="str">
        <f t="shared" si="9"/>
        <v>VZE4</v>
      </c>
      <c r="M229" t="str">
        <f t="shared" si="10"/>
        <v>Nakładany system prowadzenia z metalic-line 29 mm i mechanizmem C3 zalecamy łaczyć tylko z profilem Metallic Line.</v>
      </c>
      <c r="N229">
        <f t="shared" si="11"/>
        <v>1</v>
      </c>
    </row>
    <row r="230" spans="1:14" ht="13.8" x14ac:dyDescent="0.3">
      <c r="A230" s="255" t="str">
        <f>výpočty!$R$14</f>
        <v>Pionowy (z góry na dół)</v>
      </c>
      <c r="B230" t="str">
        <f>výpočty!$R$11</f>
        <v>Z mecjanizmem C3</v>
      </c>
      <c r="C230" t="str">
        <f>výpočty!$R$7</f>
        <v>Nakładany z prowadzeniem metalic-line 29 mm i mechanimem C3</v>
      </c>
      <c r="D230" s="36" t="str">
        <f>výpočty!$W$7</f>
        <v>Buk (E23)</v>
      </c>
      <c r="E230" t="s">
        <v>2130</v>
      </c>
      <c r="F230">
        <v>1</v>
      </c>
      <c r="G230" s="321" t="str">
        <f>Překlady!$A$151</f>
        <v>Nakładany system prowadzenia z metalic-line 29 mm i mechanizmem C3 zalecamy łaczyć tylko z profilem Metallic Line.</v>
      </c>
      <c r="H230" t="str">
        <f>VLOOKUP(A:A,výpočty!$R$14:$S$15,2,FALSE)</f>
        <v>V</v>
      </c>
      <c r="I230" t="str">
        <f>VLOOKUP(B:B,výpočty!$R$9:$S$11,2,FALSE)</f>
        <v>Z</v>
      </c>
      <c r="J230" t="str">
        <f>VLOOKUP(CHYBY!C:C,výpočty!$R$3:$S$7,2,FALSE)</f>
        <v>E</v>
      </c>
      <c r="K230">
        <f>VLOOKUP(D:D,výpočty!$W$3:$X$20,2,FALSE)</f>
        <v>5</v>
      </c>
      <c r="L230" t="str">
        <f t="shared" si="9"/>
        <v>VZE5</v>
      </c>
      <c r="M230" t="str">
        <f t="shared" si="10"/>
        <v>Nakładany system prowadzenia z metalic-line 29 mm i mechanizmem C3 zalecamy łaczyć tylko z profilem Metallic Line.</v>
      </c>
      <c r="N230">
        <f t="shared" si="11"/>
        <v>1</v>
      </c>
    </row>
    <row r="231" spans="1:14" ht="13.8" x14ac:dyDescent="0.3">
      <c r="A231" s="255" t="str">
        <f>výpočty!$R$14</f>
        <v>Pionowy (z góry na dół)</v>
      </c>
      <c r="B231" t="str">
        <f>výpočty!$R$11</f>
        <v>Z mecjanizmem C3</v>
      </c>
      <c r="C231" t="str">
        <f>výpočty!$R$7</f>
        <v>Nakładany z prowadzeniem metalic-line 29 mm i mechanimem C3</v>
      </c>
      <c r="D231" s="36" t="str">
        <f>výpočty!$W$8</f>
        <v>Czereśnia (E23)</v>
      </c>
      <c r="E231" t="s">
        <v>2130</v>
      </c>
      <c r="F231">
        <v>1</v>
      </c>
      <c r="G231" s="321" t="str">
        <f>Překlady!$A$151</f>
        <v>Nakładany system prowadzenia z metalic-line 29 mm i mechanizmem C3 zalecamy łaczyć tylko z profilem Metallic Line.</v>
      </c>
      <c r="H231" t="str">
        <f>VLOOKUP(A:A,výpočty!$R$14:$S$15,2,FALSE)</f>
        <v>V</v>
      </c>
      <c r="I231" t="str">
        <f>VLOOKUP(B:B,výpočty!$R$9:$S$11,2,FALSE)</f>
        <v>Z</v>
      </c>
      <c r="J231" t="str">
        <f>VLOOKUP(CHYBY!C:C,výpočty!$R$3:$S$7,2,FALSE)</f>
        <v>E</v>
      </c>
      <c r="K231">
        <f>VLOOKUP(D:D,výpočty!$W$3:$X$20,2,FALSE)</f>
        <v>6</v>
      </c>
      <c r="L231" t="str">
        <f t="shared" si="9"/>
        <v>VZE6</v>
      </c>
      <c r="M231" t="str">
        <f t="shared" si="10"/>
        <v>Nakładany system prowadzenia z metalic-line 29 mm i mechanizmem C3 zalecamy łaczyć tylko z profilem Metallic Line.</v>
      </c>
      <c r="N231">
        <f t="shared" si="11"/>
        <v>1</v>
      </c>
    </row>
    <row r="232" spans="1:14" ht="13.8" x14ac:dyDescent="0.3">
      <c r="A232" s="255" t="str">
        <f>výpočty!$R$14</f>
        <v>Pionowy (z góry na dół)</v>
      </c>
      <c r="B232" t="str">
        <f>výpočty!$R$11</f>
        <v>Z mecjanizmem C3</v>
      </c>
      <c r="C232" t="str">
        <f>výpočty!$R$7</f>
        <v>Nakładany z prowadzeniem metalic-line 29 mm i mechanimem C3</v>
      </c>
      <c r="D232" s="36" t="str">
        <f>výpočty!$W$9</f>
        <v>Klon (E23)</v>
      </c>
      <c r="E232" t="s">
        <v>2130</v>
      </c>
      <c r="F232">
        <v>1</v>
      </c>
      <c r="G232" s="321" t="str">
        <f>Překlady!$A$151</f>
        <v>Nakładany system prowadzenia z metalic-line 29 mm i mechanizmem C3 zalecamy łaczyć tylko z profilem Metallic Line.</v>
      </c>
      <c r="H232" t="str">
        <f>VLOOKUP(A:A,výpočty!$R$14:$S$15,2,FALSE)</f>
        <v>V</v>
      </c>
      <c r="I232" t="str">
        <f>VLOOKUP(B:B,výpočty!$R$9:$S$11,2,FALSE)</f>
        <v>Z</v>
      </c>
      <c r="J232" t="str">
        <f>VLOOKUP(CHYBY!C:C,výpočty!$R$3:$S$7,2,FALSE)</f>
        <v>E</v>
      </c>
      <c r="K232">
        <f>VLOOKUP(D:D,výpočty!$W$3:$X$20,2,FALSE)</f>
        <v>7</v>
      </c>
      <c r="L232" t="str">
        <f t="shared" si="9"/>
        <v>VZE7</v>
      </c>
      <c r="M232" t="str">
        <f t="shared" si="10"/>
        <v>Nakładany system prowadzenia z metalic-line 29 mm i mechanizmem C3 zalecamy łaczyć tylko z profilem Metallic Line.</v>
      </c>
      <c r="N232">
        <f t="shared" si="11"/>
        <v>1</v>
      </c>
    </row>
    <row r="233" spans="1:14" ht="13.8" x14ac:dyDescent="0.3">
      <c r="A233" s="255" t="str">
        <f>výpočty!$R$14</f>
        <v>Pionowy (z góry na dół)</v>
      </c>
      <c r="B233" t="str">
        <f>výpočty!$R$11</f>
        <v>Z mecjanizmem C3</v>
      </c>
      <c r="C233" t="str">
        <f>výpočty!$R$7</f>
        <v>Nakładany z prowadzeniem metalic-line 29 mm i mechanimem C3</v>
      </c>
      <c r="D233" s="36" t="str">
        <f>výpočty!$W$10</f>
        <v>Brzoza (E23)</v>
      </c>
      <c r="E233" t="s">
        <v>2130</v>
      </c>
      <c r="F233">
        <v>1</v>
      </c>
      <c r="G233" s="321" t="str">
        <f>Překlady!$A$151</f>
        <v>Nakładany system prowadzenia z metalic-line 29 mm i mechanizmem C3 zalecamy łaczyć tylko z profilem Metallic Line.</v>
      </c>
      <c r="H233" t="str">
        <f>VLOOKUP(A:A,výpočty!$R$14:$S$15,2,FALSE)</f>
        <v>V</v>
      </c>
      <c r="I233" t="str">
        <f>VLOOKUP(B:B,výpočty!$R$9:$S$11,2,FALSE)</f>
        <v>Z</v>
      </c>
      <c r="J233" t="str">
        <f>VLOOKUP(CHYBY!C:C,výpočty!$R$3:$S$7,2,FALSE)</f>
        <v>E</v>
      </c>
      <c r="K233">
        <f>VLOOKUP(D:D,výpočty!$W$3:$X$20,2,FALSE)</f>
        <v>8</v>
      </c>
      <c r="L233" t="str">
        <f t="shared" si="9"/>
        <v>VZE8</v>
      </c>
      <c r="M233" t="str">
        <f t="shared" si="10"/>
        <v>Nakładany system prowadzenia z metalic-line 29 mm i mechanizmem C3 zalecamy łaczyć tylko z profilem Metallic Line.</v>
      </c>
      <c r="N233">
        <f t="shared" si="11"/>
        <v>1</v>
      </c>
    </row>
    <row r="234" spans="1:14" ht="13.8" x14ac:dyDescent="0.3">
      <c r="A234" s="255" t="str">
        <f>výpočty!$R$14</f>
        <v>Pionowy (z góry na dół)</v>
      </c>
      <c r="B234" t="str">
        <f>výpočty!$R$11</f>
        <v>Z mecjanizmem C3</v>
      </c>
      <c r="C234" t="str">
        <f>výpočty!$R$7</f>
        <v>Nakładany z prowadzeniem metalic-line 29 mm i mechanimem C3</v>
      </c>
      <c r="D234" s="36" t="str">
        <f>výpočty!$W$11</f>
        <v>Czereśnia havana (E23)</v>
      </c>
      <c r="E234" t="s">
        <v>2130</v>
      </c>
      <c r="F234">
        <v>1</v>
      </c>
      <c r="G234" s="321" t="str">
        <f>Překlady!$A$151</f>
        <v>Nakładany system prowadzenia z metalic-line 29 mm i mechanizmem C3 zalecamy łaczyć tylko z profilem Metallic Line.</v>
      </c>
      <c r="H234" t="str">
        <f>VLOOKUP(A:A,výpočty!$R$14:$S$15,2,FALSE)</f>
        <v>V</v>
      </c>
      <c r="I234" t="str">
        <f>VLOOKUP(B:B,výpočty!$R$9:$S$11,2,FALSE)</f>
        <v>Z</v>
      </c>
      <c r="J234" t="str">
        <f>VLOOKUP(CHYBY!C:C,výpočty!$R$3:$S$7,2,FALSE)</f>
        <v>E</v>
      </c>
      <c r="K234">
        <f>VLOOKUP(D:D,výpočty!$W$3:$X$20,2,FALSE)</f>
        <v>9</v>
      </c>
      <c r="L234" t="str">
        <f t="shared" si="9"/>
        <v>VZE9</v>
      </c>
      <c r="M234" t="str">
        <f t="shared" si="10"/>
        <v>Nakładany system prowadzenia z metalic-line 29 mm i mechanizmem C3 zalecamy łaczyć tylko z profilem Metallic Line.</v>
      </c>
      <c r="N234">
        <f t="shared" si="11"/>
        <v>1</v>
      </c>
    </row>
    <row r="235" spans="1:14" ht="13.8" x14ac:dyDescent="0.3">
      <c r="A235" s="255" t="str">
        <f>výpočty!$R$14</f>
        <v>Pionowy (z góry na dół)</v>
      </c>
      <c r="B235" t="str">
        <f>výpočty!$R$11</f>
        <v>Z mecjanizmem C3</v>
      </c>
      <c r="C235" t="str">
        <f>výpočty!$R$7</f>
        <v>Nakładany z prowadzeniem metalic-line 29 mm i mechanimem C3</v>
      </c>
      <c r="D235" s="36" t="str">
        <f>výpočty!$W$12</f>
        <v>Calvados (E23)</v>
      </c>
      <c r="E235" t="s">
        <v>2130</v>
      </c>
      <c r="F235">
        <v>1</v>
      </c>
      <c r="G235" s="321" t="str">
        <f>Překlady!$A$151</f>
        <v>Nakładany system prowadzenia z metalic-line 29 mm i mechanizmem C3 zalecamy łaczyć tylko z profilem Metallic Line.</v>
      </c>
      <c r="H235" t="str">
        <f>VLOOKUP(A:A,výpočty!$R$14:$S$15,2,FALSE)</f>
        <v>V</v>
      </c>
      <c r="I235" t="str">
        <f>VLOOKUP(B:B,výpočty!$R$9:$S$11,2,FALSE)</f>
        <v>Z</v>
      </c>
      <c r="J235" t="str">
        <f>VLOOKUP(CHYBY!C:C,výpočty!$R$3:$S$7,2,FALSE)</f>
        <v>E</v>
      </c>
      <c r="K235">
        <f>VLOOKUP(D:D,výpočty!$W$3:$X$20,2,FALSE)</f>
        <v>10</v>
      </c>
      <c r="L235" t="str">
        <f t="shared" si="9"/>
        <v>VZE10</v>
      </c>
      <c r="M235" t="str">
        <f t="shared" si="10"/>
        <v>Nakładany system prowadzenia z metalic-line 29 mm i mechanizmem C3 zalecamy łaczyć tylko z profilem Metallic Line.</v>
      </c>
      <c r="N235">
        <f t="shared" si="11"/>
        <v>1</v>
      </c>
    </row>
    <row r="236" spans="1:14" ht="13.8" x14ac:dyDescent="0.3">
      <c r="A236" s="255" t="str">
        <f>výpočty!$R$14</f>
        <v>Pionowy (z góry na dół)</v>
      </c>
      <c r="B236" t="str">
        <f>výpočty!$R$11</f>
        <v>Z mecjanizmem C3</v>
      </c>
      <c r="C236" t="str">
        <f>výpočty!$R$7</f>
        <v>Nakładany z prowadzeniem metalic-line 29 mm i mechanimem C3</v>
      </c>
      <c r="D236" s="36" t="str">
        <f>výpočty!$W$14</f>
        <v>śnieżno biala mat (E9)</v>
      </c>
      <c r="E236" t="s">
        <v>2130</v>
      </c>
      <c r="F236">
        <v>1</v>
      </c>
      <c r="G236" s="321" t="str">
        <f>Překlady!$A$142</f>
        <v>Kolor śnieżno biały w profilu E9 można łączyć jedynie z prowadzeniem Classic i systemem nawijania do tyłu</v>
      </c>
      <c r="H236" t="str">
        <f>VLOOKUP(A:A,výpočty!$R$14:$S$15,2,FALSE)</f>
        <v>V</v>
      </c>
      <c r="I236" t="str">
        <f>VLOOKUP(B:B,výpočty!$R$9:$S$11,2,FALSE)</f>
        <v>Z</v>
      </c>
      <c r="J236" t="str">
        <f>VLOOKUP(CHYBY!C:C,výpočty!$R$3:$S$7,2,FALSE)</f>
        <v>E</v>
      </c>
      <c r="K236">
        <f>VLOOKUP(D:D,výpočty!$W$3:$X$20,2,FALSE)</f>
        <v>12</v>
      </c>
      <c r="L236" t="str">
        <f t="shared" si="9"/>
        <v>VZE12</v>
      </c>
      <c r="M236" t="str">
        <f t="shared" si="10"/>
        <v>Kolor śnieżno biały w profilu E9 można łączyć jedynie z prowadzeniem Classic i systemem nawijania do tyłu</v>
      </c>
      <c r="N236">
        <f t="shared" si="11"/>
        <v>1</v>
      </c>
    </row>
    <row r="237" spans="1:14" ht="13.8" x14ac:dyDescent="0.3">
      <c r="A237" s="255" t="str">
        <f>výpočty!$R$14</f>
        <v>Pionowy (z góry na dół)</v>
      </c>
      <c r="B237" t="str">
        <f>výpočty!$R$11</f>
        <v>Z mecjanizmem C3</v>
      </c>
      <c r="C237" t="str">
        <f>výpočty!$R$7</f>
        <v>Nakładany z prowadzeniem metalic-line 29 mm i mechanimem C3</v>
      </c>
      <c r="D237" s="36" t="str">
        <f>výpočty!$W$15</f>
        <v>Aluminowa plastik (E4)</v>
      </c>
      <c r="E237" t="s">
        <v>2130</v>
      </c>
      <c r="F237">
        <v>1</v>
      </c>
      <c r="G237" s="321" t="str">
        <f>Překlady!$A$143</f>
        <v>Kolor aluminium plastik w profilu E4 jest idealny do poziomych rozwiązań w kombinacji z prowadzeniem Classic z systemem nawijania do tyłu</v>
      </c>
      <c r="H237" t="str">
        <f>VLOOKUP(A:A,výpočty!$R$14:$S$15,2,FALSE)</f>
        <v>V</v>
      </c>
      <c r="I237" t="str">
        <f>VLOOKUP(B:B,výpočty!$R$9:$S$11,2,FALSE)</f>
        <v>Z</v>
      </c>
      <c r="J237" t="str">
        <f>VLOOKUP(CHYBY!C:C,výpočty!$R$3:$S$7,2,FALSE)</f>
        <v>E</v>
      </c>
      <c r="K237">
        <f>VLOOKUP(D:D,výpočty!$W$3:$X$20,2,FALSE)</f>
        <v>13</v>
      </c>
      <c r="L237" t="str">
        <f t="shared" si="9"/>
        <v>VZE13</v>
      </c>
      <c r="M237" t="str">
        <f t="shared" si="10"/>
        <v>Kolor aluminium plastik w profilu E4 jest idealny do poziomych rozwiązań w kombinacji z prowadzeniem Classic z systemem nawijania do tyłu</v>
      </c>
      <c r="N237">
        <f t="shared" si="11"/>
        <v>1</v>
      </c>
    </row>
    <row r="238" spans="1:14" ht="13.8" x14ac:dyDescent="0.3">
      <c r="A238" s="255" t="str">
        <f>výpočty!$R$14</f>
        <v>Pionowy (z góry na dół)</v>
      </c>
      <c r="B238" t="str">
        <f>výpočty!$R$11</f>
        <v>Z mecjanizmem C3</v>
      </c>
      <c r="C238" t="str">
        <f>výpočty!$R$7</f>
        <v>Nakładany z prowadzeniem metalic-line 29 mm i mechanimem C3</v>
      </c>
      <c r="D238" s="36">
        <f>výpočty!$W$17</f>
        <v>0</v>
      </c>
      <c r="E238" t="s">
        <v>2129</v>
      </c>
      <c r="F238">
        <v>0</v>
      </c>
      <c r="G238" t="s">
        <v>2139</v>
      </c>
      <c r="H238" t="str">
        <f>VLOOKUP(A:A,výpočty!$R$14:$S$15,2,FALSE)</f>
        <v>V</v>
      </c>
      <c r="I238" t="str">
        <f>VLOOKUP(B:B,výpočty!$R$9:$S$11,2,FALSE)</f>
        <v>Z</v>
      </c>
      <c r="J238" t="str">
        <f>VLOOKUP(CHYBY!C:C,výpočty!$R$3:$S$7,2,FALSE)</f>
        <v>E</v>
      </c>
      <c r="K238" t="e">
        <f>VLOOKUP(D:D,výpočty!$W$3:$X$20,2,FALSE)</f>
        <v>#N/A</v>
      </c>
      <c r="L238" t="e">
        <f t="shared" si="9"/>
        <v>#N/A</v>
      </c>
      <c r="M238" t="str">
        <f t="shared" si="10"/>
        <v/>
      </c>
      <c r="N238">
        <f t="shared" si="11"/>
        <v>0</v>
      </c>
    </row>
    <row r="239" spans="1:14" ht="13.8" x14ac:dyDescent="0.3">
      <c r="A239" s="255" t="str">
        <f>výpočty!$R$14</f>
        <v>Pionowy (z góry na dół)</v>
      </c>
      <c r="B239" t="str">
        <f>výpočty!$R$11</f>
        <v>Z mecjanizmem C3</v>
      </c>
      <c r="C239" t="str">
        <f>výpočty!$R$7</f>
        <v>Nakładany z prowadzeniem metalic-line 29 mm i mechanimem C3</v>
      </c>
      <c r="D239" s="36">
        <f>výpočty!$W$18</f>
        <v>0</v>
      </c>
      <c r="E239" t="s">
        <v>2129</v>
      </c>
      <c r="F239">
        <v>0</v>
      </c>
      <c r="G239" t="s">
        <v>2139</v>
      </c>
      <c r="H239" t="str">
        <f>VLOOKUP(A:A,výpočty!$R$14:$S$15,2,FALSE)</f>
        <v>V</v>
      </c>
      <c r="I239" t="str">
        <f>VLOOKUP(B:B,výpočty!$R$9:$S$11,2,FALSE)</f>
        <v>Z</v>
      </c>
      <c r="J239" t="str">
        <f>VLOOKUP(CHYBY!C:C,výpočty!$R$3:$S$7,2,FALSE)</f>
        <v>E</v>
      </c>
      <c r="K239" t="e">
        <f>VLOOKUP(D:D,výpočty!$W$3:$X$20,2,FALSE)</f>
        <v>#N/A</v>
      </c>
      <c r="L239" t="e">
        <f t="shared" si="9"/>
        <v>#N/A</v>
      </c>
      <c r="M239" t="str">
        <f t="shared" si="10"/>
        <v/>
      </c>
      <c r="N239">
        <f t="shared" si="11"/>
        <v>0</v>
      </c>
    </row>
    <row r="240" spans="1:14" ht="13.8" x14ac:dyDescent="0.3">
      <c r="A240" s="255" t="str">
        <f>výpočty!$R$14</f>
        <v>Pionowy (z góry na dół)</v>
      </c>
      <c r="B240" t="str">
        <f>výpočty!$R$11</f>
        <v>Z mecjanizmem C3</v>
      </c>
      <c r="C240" t="str">
        <f>výpočty!$R$7</f>
        <v>Nakładany z prowadzeniem metalic-line 29 mm i mechanimem C3</v>
      </c>
      <c r="D240" s="36" t="str">
        <f>výpočty!$W$19</f>
        <v>Aluminium szerokość 25 mm (metallic-line)</v>
      </c>
      <c r="E240" t="s">
        <v>2129</v>
      </c>
      <c r="F240">
        <v>0</v>
      </c>
      <c r="G240" t="s">
        <v>2139</v>
      </c>
      <c r="H240" t="str">
        <f>VLOOKUP(A:A,výpočty!$R$14:$S$15,2,FALSE)</f>
        <v>V</v>
      </c>
      <c r="I240" t="str">
        <f>VLOOKUP(B:B,výpočty!$R$9:$S$11,2,FALSE)</f>
        <v>Z</v>
      </c>
      <c r="J240" t="str">
        <f>VLOOKUP(CHYBY!C:C,výpočty!$R$3:$S$7,2,FALSE)</f>
        <v>E</v>
      </c>
      <c r="K240">
        <f>VLOOKUP(D:D,výpočty!$W$3:$X$20,2,FALSE)</f>
        <v>17</v>
      </c>
      <c r="L240" t="str">
        <f t="shared" si="9"/>
        <v>VZE17</v>
      </c>
      <c r="M240" t="str">
        <f t="shared" si="10"/>
        <v/>
      </c>
      <c r="N240">
        <f t="shared" si="11"/>
        <v>0</v>
      </c>
    </row>
    <row r="241" spans="1:14" ht="14.4" thickBot="1" x14ac:dyDescent="0.35">
      <c r="A241" s="255" t="str">
        <f>výpočty!$R$14</f>
        <v>Pionowy (z góry na dół)</v>
      </c>
      <c r="B241" t="str">
        <f>výpočty!$R$11</f>
        <v>Z mecjanizmem C3</v>
      </c>
      <c r="C241" t="str">
        <f>výpočty!$R$7</f>
        <v>Nakładany z prowadzeniem metalic-line 29 mm i mechanimem C3</v>
      </c>
      <c r="D241" s="27" t="str">
        <f>výpočty!$W$20</f>
        <v>Nierdz. szerokość 25 mm (metallic-line)</v>
      </c>
      <c r="E241" t="s">
        <v>2129</v>
      </c>
      <c r="F241">
        <v>0</v>
      </c>
      <c r="G241" t="s">
        <v>2139</v>
      </c>
      <c r="H241" t="str">
        <f>VLOOKUP(A:A,výpočty!$R$14:$S$15,2,FALSE)</f>
        <v>V</v>
      </c>
      <c r="I241" t="str">
        <f>VLOOKUP(B:B,výpočty!$R$9:$S$11,2,FALSE)</f>
        <v>Z</v>
      </c>
      <c r="J241" t="str">
        <f>VLOOKUP(CHYBY!C:C,výpočty!$R$3:$S$7,2,FALSE)</f>
        <v>E</v>
      </c>
      <c r="K241">
        <f>VLOOKUP(D:D,výpočty!$W$3:$X$20,2,FALSE)</f>
        <v>18</v>
      </c>
      <c r="L241" t="str">
        <f t="shared" si="9"/>
        <v>VZE18</v>
      </c>
      <c r="M241" t="str">
        <f t="shared" si="10"/>
        <v/>
      </c>
      <c r="N241">
        <f t="shared" si="11"/>
        <v>0</v>
      </c>
    </row>
    <row r="242" spans="1:14" ht="13.8" x14ac:dyDescent="0.3">
      <c r="A242" s="255" t="str">
        <f>výpočty!$R$15</f>
        <v>Poziomy (z lewej strony na prawą)</v>
      </c>
      <c r="B242" s="256" t="str">
        <f>výpočty!$R$9</f>
        <v>Do tyłu</v>
      </c>
      <c r="C242" t="str">
        <f>výpočty!$R$3</f>
        <v>TOP Basic - wpuszczany do przykręcenia plastikowy</v>
      </c>
      <c r="D242" s="26" t="str">
        <f>výpočty!$W$3</f>
        <v>Czarny (E23)</v>
      </c>
      <c r="E242" t="s">
        <v>2129</v>
      </c>
      <c r="F242">
        <v>0</v>
      </c>
      <c r="G242" t="s">
        <v>2139</v>
      </c>
      <c r="H242" t="str">
        <f>VLOOKUP(A:A,výpočty!$R$14:$S$15,2,FALSE)</f>
        <v>H</v>
      </c>
      <c r="I242" t="str">
        <f>VLOOKUP(B:B,výpočty!$R$9:$S$11,2,FALSE)</f>
        <v>X</v>
      </c>
      <c r="J242" t="str">
        <f>VLOOKUP(CHYBY!C:C,výpočty!$R$3:$S$7,2,FALSE)</f>
        <v>A</v>
      </c>
      <c r="K242">
        <f>VLOOKUP(D:D,výpočty!$W$3:$X$20,2,FALSE)</f>
        <v>1</v>
      </c>
      <c r="L242" t="str">
        <f t="shared" si="9"/>
        <v>HXA1</v>
      </c>
      <c r="M242" t="str">
        <f t="shared" si="10"/>
        <v/>
      </c>
      <c r="N242">
        <f t="shared" si="11"/>
        <v>0</v>
      </c>
    </row>
    <row r="243" spans="1:14" ht="13.8" x14ac:dyDescent="0.3">
      <c r="A243" s="255" t="str">
        <f>výpočty!$R$15</f>
        <v>Poziomy (z lewej strony na prawą)</v>
      </c>
      <c r="B243" s="256" t="str">
        <f>výpočty!$R$9</f>
        <v>Do tyłu</v>
      </c>
      <c r="C243" t="str">
        <f>výpočty!$R$3</f>
        <v>TOP Basic - wpuszczany do przykręcenia plastikowy</v>
      </c>
      <c r="D243" s="36" t="str">
        <f>výpočty!$W$4</f>
        <v>Biały (E23)</v>
      </c>
      <c r="E243" t="s">
        <v>2129</v>
      </c>
      <c r="F243">
        <v>0</v>
      </c>
      <c r="G243" t="s">
        <v>2139</v>
      </c>
      <c r="H243" t="str">
        <f>VLOOKUP(A:A,výpočty!$R$14:$S$15,2,FALSE)</f>
        <v>H</v>
      </c>
      <c r="I243" t="str">
        <f>VLOOKUP(B:B,výpočty!$R$9:$S$11,2,FALSE)</f>
        <v>X</v>
      </c>
      <c r="J243" t="str">
        <f>VLOOKUP(CHYBY!C:C,výpočty!$R$3:$S$7,2,FALSE)</f>
        <v>A</v>
      </c>
      <c r="K243">
        <f>VLOOKUP(D:D,výpočty!$W$3:$X$20,2,FALSE)</f>
        <v>2</v>
      </c>
      <c r="L243" t="str">
        <f t="shared" si="9"/>
        <v>HXA2</v>
      </c>
      <c r="M243" t="str">
        <f t="shared" si="10"/>
        <v/>
      </c>
      <c r="N243">
        <f t="shared" si="11"/>
        <v>0</v>
      </c>
    </row>
    <row r="244" spans="1:14" ht="13.8" x14ac:dyDescent="0.3">
      <c r="A244" s="255" t="str">
        <f>výpočty!$R$15</f>
        <v>Poziomy (z lewej strony na prawą)</v>
      </c>
      <c r="B244" s="256" t="str">
        <f>výpočty!$R$9</f>
        <v>Do tyłu</v>
      </c>
      <c r="C244" t="str">
        <f>výpočty!$R$3</f>
        <v>TOP Basic - wpuszczany do przykręcenia plastikowy</v>
      </c>
      <c r="D244" s="36" t="str">
        <f>výpočty!$W$5</f>
        <v>Szary (E23)</v>
      </c>
      <c r="E244" t="s">
        <v>2129</v>
      </c>
      <c r="F244">
        <v>0</v>
      </c>
      <c r="G244" t="s">
        <v>2139</v>
      </c>
      <c r="H244" t="str">
        <f>VLOOKUP(A:A,výpočty!$R$14:$S$15,2,FALSE)</f>
        <v>H</v>
      </c>
      <c r="I244" t="str">
        <f>VLOOKUP(B:B,výpočty!$R$9:$S$11,2,FALSE)</f>
        <v>X</v>
      </c>
      <c r="J244" t="str">
        <f>VLOOKUP(CHYBY!C:C,výpočty!$R$3:$S$7,2,FALSE)</f>
        <v>A</v>
      </c>
      <c r="K244">
        <f>VLOOKUP(D:D,výpočty!$W$3:$X$20,2,FALSE)</f>
        <v>3</v>
      </c>
      <c r="L244" t="str">
        <f t="shared" si="9"/>
        <v>HXA3</v>
      </c>
      <c r="M244" t="str">
        <f t="shared" si="10"/>
        <v/>
      </c>
      <c r="N244">
        <f t="shared" si="11"/>
        <v>0</v>
      </c>
    </row>
    <row r="245" spans="1:14" ht="13.8" x14ac:dyDescent="0.3">
      <c r="A245" s="255" t="str">
        <f>výpočty!$R$15</f>
        <v>Poziomy (z lewej strony na prawą)</v>
      </c>
      <c r="B245" s="256" t="str">
        <f>výpočty!$R$9</f>
        <v>Do tyłu</v>
      </c>
      <c r="C245" t="str">
        <f>výpočty!$R$3</f>
        <v>TOP Basic - wpuszczany do przykręcenia plastikowy</v>
      </c>
      <c r="D245" s="36" t="str">
        <f>výpočty!$W$6</f>
        <v>Aluminowa plastik (E23)</v>
      </c>
      <c r="E245" t="s">
        <v>2129</v>
      </c>
      <c r="F245">
        <v>0</v>
      </c>
      <c r="G245" t="s">
        <v>2139</v>
      </c>
      <c r="H245" t="str">
        <f>VLOOKUP(A:A,výpočty!$R$14:$S$15,2,FALSE)</f>
        <v>H</v>
      </c>
      <c r="I245" t="str">
        <f>VLOOKUP(B:B,výpočty!$R$9:$S$11,2,FALSE)</f>
        <v>X</v>
      </c>
      <c r="J245" t="str">
        <f>VLOOKUP(CHYBY!C:C,výpočty!$R$3:$S$7,2,FALSE)</f>
        <v>A</v>
      </c>
      <c r="K245">
        <f>VLOOKUP(D:D,výpočty!$W$3:$X$20,2,FALSE)</f>
        <v>4</v>
      </c>
      <c r="L245" t="str">
        <f t="shared" si="9"/>
        <v>HXA4</v>
      </c>
      <c r="M245" t="str">
        <f t="shared" si="10"/>
        <v/>
      </c>
      <c r="N245">
        <f t="shared" si="11"/>
        <v>0</v>
      </c>
    </row>
    <row r="246" spans="1:14" ht="13.8" x14ac:dyDescent="0.3">
      <c r="A246" s="255" t="str">
        <f>výpočty!$R$15</f>
        <v>Poziomy (z lewej strony na prawą)</v>
      </c>
      <c r="B246" s="256" t="str">
        <f>výpočty!$R$9</f>
        <v>Do tyłu</v>
      </c>
      <c r="C246" t="str">
        <f>výpočty!$R$3</f>
        <v>TOP Basic - wpuszczany do przykręcenia plastikowy</v>
      </c>
      <c r="D246" s="36" t="str">
        <f>výpočty!$W$7</f>
        <v>Buk (E23)</v>
      </c>
      <c r="E246" t="s">
        <v>2129</v>
      </c>
      <c r="F246">
        <v>0</v>
      </c>
      <c r="G246" t="s">
        <v>2139</v>
      </c>
      <c r="H246" t="str">
        <f>VLOOKUP(A:A,výpočty!$R$14:$S$15,2,FALSE)</f>
        <v>H</v>
      </c>
      <c r="I246" t="str">
        <f>VLOOKUP(B:B,výpočty!$R$9:$S$11,2,FALSE)</f>
        <v>X</v>
      </c>
      <c r="J246" t="str">
        <f>VLOOKUP(CHYBY!C:C,výpočty!$R$3:$S$7,2,FALSE)</f>
        <v>A</v>
      </c>
      <c r="K246">
        <f>VLOOKUP(D:D,výpočty!$W$3:$X$20,2,FALSE)</f>
        <v>5</v>
      </c>
      <c r="L246" t="str">
        <f t="shared" si="9"/>
        <v>HXA5</v>
      </c>
      <c r="M246" t="str">
        <f t="shared" si="10"/>
        <v/>
      </c>
      <c r="N246">
        <f t="shared" si="11"/>
        <v>0</v>
      </c>
    </row>
    <row r="247" spans="1:14" ht="13.8" x14ac:dyDescent="0.3">
      <c r="A247" s="255" t="str">
        <f>výpočty!$R$15</f>
        <v>Poziomy (z lewej strony na prawą)</v>
      </c>
      <c r="B247" s="256" t="str">
        <f>výpočty!$R$9</f>
        <v>Do tyłu</v>
      </c>
      <c r="C247" t="str">
        <f>výpočty!$R$3</f>
        <v>TOP Basic - wpuszczany do przykręcenia plastikowy</v>
      </c>
      <c r="D247" s="36" t="str">
        <f>výpočty!$W$8</f>
        <v>Czereśnia (E23)</v>
      </c>
      <c r="E247" t="s">
        <v>2129</v>
      </c>
      <c r="F247">
        <v>0</v>
      </c>
      <c r="G247" t="s">
        <v>2139</v>
      </c>
      <c r="H247" t="str">
        <f>VLOOKUP(A:A,výpočty!$R$14:$S$15,2,FALSE)</f>
        <v>H</v>
      </c>
      <c r="I247" t="str">
        <f>VLOOKUP(B:B,výpočty!$R$9:$S$11,2,FALSE)</f>
        <v>X</v>
      </c>
      <c r="J247" t="str">
        <f>VLOOKUP(CHYBY!C:C,výpočty!$R$3:$S$7,2,FALSE)</f>
        <v>A</v>
      </c>
      <c r="K247">
        <f>VLOOKUP(D:D,výpočty!$W$3:$X$20,2,FALSE)</f>
        <v>6</v>
      </c>
      <c r="L247" t="str">
        <f t="shared" si="9"/>
        <v>HXA6</v>
      </c>
      <c r="M247" t="str">
        <f t="shared" si="10"/>
        <v/>
      </c>
      <c r="N247">
        <f t="shared" si="11"/>
        <v>0</v>
      </c>
    </row>
    <row r="248" spans="1:14" ht="13.8" x14ac:dyDescent="0.3">
      <c r="A248" s="255" t="str">
        <f>výpočty!$R$15</f>
        <v>Poziomy (z lewej strony na prawą)</v>
      </c>
      <c r="B248" s="256" t="str">
        <f>výpočty!$R$9</f>
        <v>Do tyłu</v>
      </c>
      <c r="C248" t="str">
        <f>výpočty!$R$3</f>
        <v>TOP Basic - wpuszczany do przykręcenia plastikowy</v>
      </c>
      <c r="D248" s="36" t="str">
        <f>výpočty!$W$9</f>
        <v>Klon (E23)</v>
      </c>
      <c r="E248" t="s">
        <v>2129</v>
      </c>
      <c r="F248">
        <v>0</v>
      </c>
      <c r="G248" t="s">
        <v>2139</v>
      </c>
      <c r="H248" t="str">
        <f>VLOOKUP(A:A,výpočty!$R$14:$S$15,2,FALSE)</f>
        <v>H</v>
      </c>
      <c r="I248" t="str">
        <f>VLOOKUP(B:B,výpočty!$R$9:$S$11,2,FALSE)</f>
        <v>X</v>
      </c>
      <c r="J248" t="str">
        <f>VLOOKUP(CHYBY!C:C,výpočty!$R$3:$S$7,2,FALSE)</f>
        <v>A</v>
      </c>
      <c r="K248">
        <f>VLOOKUP(D:D,výpočty!$W$3:$X$20,2,FALSE)</f>
        <v>7</v>
      </c>
      <c r="L248" t="str">
        <f t="shared" si="9"/>
        <v>HXA7</v>
      </c>
      <c r="M248" t="str">
        <f t="shared" si="10"/>
        <v/>
      </c>
      <c r="N248">
        <f t="shared" si="11"/>
        <v>0</v>
      </c>
    </row>
    <row r="249" spans="1:14" ht="13.8" x14ac:dyDescent="0.3">
      <c r="A249" s="255" t="str">
        <f>výpočty!$R$15</f>
        <v>Poziomy (z lewej strony na prawą)</v>
      </c>
      <c r="B249" s="256" t="str">
        <f>výpočty!$R$9</f>
        <v>Do tyłu</v>
      </c>
      <c r="C249" t="str">
        <f>výpočty!$R$3</f>
        <v>TOP Basic - wpuszczany do przykręcenia plastikowy</v>
      </c>
      <c r="D249" s="36" t="str">
        <f>výpočty!$W$10</f>
        <v>Brzoza (E23)</v>
      </c>
      <c r="E249" t="s">
        <v>2129</v>
      </c>
      <c r="F249">
        <v>0</v>
      </c>
      <c r="G249" t="s">
        <v>2139</v>
      </c>
      <c r="H249" t="str">
        <f>VLOOKUP(A:A,výpočty!$R$14:$S$15,2,FALSE)</f>
        <v>H</v>
      </c>
      <c r="I249" t="str">
        <f>VLOOKUP(B:B,výpočty!$R$9:$S$11,2,FALSE)</f>
        <v>X</v>
      </c>
      <c r="J249" t="str">
        <f>VLOOKUP(CHYBY!C:C,výpočty!$R$3:$S$7,2,FALSE)</f>
        <v>A</v>
      </c>
      <c r="K249">
        <f>VLOOKUP(D:D,výpočty!$W$3:$X$20,2,FALSE)</f>
        <v>8</v>
      </c>
      <c r="L249" t="str">
        <f t="shared" si="9"/>
        <v>HXA8</v>
      </c>
      <c r="M249" t="str">
        <f t="shared" si="10"/>
        <v/>
      </c>
      <c r="N249">
        <f t="shared" si="11"/>
        <v>0</v>
      </c>
    </row>
    <row r="250" spans="1:14" ht="13.8" x14ac:dyDescent="0.3">
      <c r="A250" s="255" t="str">
        <f>výpočty!$R$15</f>
        <v>Poziomy (z lewej strony na prawą)</v>
      </c>
      <c r="B250" s="256" t="str">
        <f>výpočty!$R$9</f>
        <v>Do tyłu</v>
      </c>
      <c r="C250" t="str">
        <f>výpočty!$R$3</f>
        <v>TOP Basic - wpuszczany do przykręcenia plastikowy</v>
      </c>
      <c r="D250" s="36" t="str">
        <f>výpočty!$W$11</f>
        <v>Czereśnia havana (E23)</v>
      </c>
      <c r="E250" t="s">
        <v>2129</v>
      </c>
      <c r="F250">
        <v>0</v>
      </c>
      <c r="G250" t="s">
        <v>2139</v>
      </c>
      <c r="H250" t="str">
        <f>VLOOKUP(A:A,výpočty!$R$14:$S$15,2,FALSE)</f>
        <v>H</v>
      </c>
      <c r="I250" t="str">
        <f>VLOOKUP(B:B,výpočty!$R$9:$S$11,2,FALSE)</f>
        <v>X</v>
      </c>
      <c r="J250" t="str">
        <f>VLOOKUP(CHYBY!C:C,výpočty!$R$3:$S$7,2,FALSE)</f>
        <v>A</v>
      </c>
      <c r="K250">
        <f>VLOOKUP(D:D,výpočty!$W$3:$X$20,2,FALSE)</f>
        <v>9</v>
      </c>
      <c r="L250" t="str">
        <f t="shared" si="9"/>
        <v>HXA9</v>
      </c>
      <c r="M250" t="str">
        <f t="shared" si="10"/>
        <v/>
      </c>
      <c r="N250">
        <f t="shared" si="11"/>
        <v>0</v>
      </c>
    </row>
    <row r="251" spans="1:14" ht="13.8" x14ac:dyDescent="0.3">
      <c r="A251" s="255" t="str">
        <f>výpočty!$R$15</f>
        <v>Poziomy (z lewej strony na prawą)</v>
      </c>
      <c r="B251" s="256" t="str">
        <f>výpočty!$R$9</f>
        <v>Do tyłu</v>
      </c>
      <c r="C251" t="str">
        <f>výpočty!$R$3</f>
        <v>TOP Basic - wpuszczany do przykręcenia plastikowy</v>
      </c>
      <c r="D251" s="36" t="str">
        <f>výpočty!$W$12</f>
        <v>Calvados (E23)</v>
      </c>
      <c r="E251" t="s">
        <v>2129</v>
      </c>
      <c r="F251">
        <v>0</v>
      </c>
      <c r="G251" t="s">
        <v>2139</v>
      </c>
      <c r="H251" t="str">
        <f>VLOOKUP(A:A,výpočty!$R$14:$S$15,2,FALSE)</f>
        <v>H</v>
      </c>
      <c r="I251" t="str">
        <f>VLOOKUP(B:B,výpočty!$R$9:$S$11,2,FALSE)</f>
        <v>X</v>
      </c>
      <c r="J251" t="str">
        <f>VLOOKUP(CHYBY!C:C,výpočty!$R$3:$S$7,2,FALSE)</f>
        <v>A</v>
      </c>
      <c r="K251">
        <f>VLOOKUP(D:D,výpočty!$W$3:$X$20,2,FALSE)</f>
        <v>10</v>
      </c>
      <c r="L251" t="str">
        <f t="shared" si="9"/>
        <v>HXA10</v>
      </c>
      <c r="M251" t="str">
        <f t="shared" si="10"/>
        <v/>
      </c>
      <c r="N251">
        <f t="shared" si="11"/>
        <v>0</v>
      </c>
    </row>
    <row r="252" spans="1:14" ht="13.8" x14ac:dyDescent="0.3">
      <c r="A252" s="255" t="str">
        <f>výpočty!$R$15</f>
        <v>Poziomy (z lewej strony na prawą)</v>
      </c>
      <c r="B252" s="256" t="str">
        <f>výpočty!$R$9</f>
        <v>Do tyłu</v>
      </c>
      <c r="C252" t="str">
        <f>výpočty!$R$3</f>
        <v>TOP Basic - wpuszczany do przykręcenia plastikowy</v>
      </c>
      <c r="D252" s="36" t="str">
        <f>výpočty!$W$14</f>
        <v>śnieżno biala mat (E9)</v>
      </c>
      <c r="E252" s="321" t="s">
        <v>2130</v>
      </c>
      <c r="F252" s="321">
        <v>1</v>
      </c>
      <c r="G252" s="321" t="str">
        <f>Překlady!$A$142</f>
        <v>Kolor śnieżno biały w profilu E9 można łączyć jedynie z prowadzeniem Classic i systemem nawijania do tyłu</v>
      </c>
      <c r="H252" t="str">
        <f>VLOOKUP(A:A,výpočty!$R$14:$S$15,2,FALSE)</f>
        <v>H</v>
      </c>
      <c r="I252" t="str">
        <f>VLOOKUP(B:B,výpočty!$R$9:$S$11,2,FALSE)</f>
        <v>X</v>
      </c>
      <c r="J252" t="str">
        <f>VLOOKUP(CHYBY!C:C,výpočty!$R$3:$S$7,2,FALSE)</f>
        <v>A</v>
      </c>
      <c r="K252">
        <f>VLOOKUP(D:D,výpočty!$W$3:$X$20,2,FALSE)</f>
        <v>12</v>
      </c>
      <c r="L252" t="str">
        <f t="shared" si="9"/>
        <v>HXA12</v>
      </c>
      <c r="M252" t="str">
        <f t="shared" si="10"/>
        <v>Kolor śnieżno biały w profilu E9 można łączyć jedynie z prowadzeniem Classic i systemem nawijania do tyłu</v>
      </c>
      <c r="N252">
        <f t="shared" si="11"/>
        <v>1</v>
      </c>
    </row>
    <row r="253" spans="1:14" ht="13.8" x14ac:dyDescent="0.3">
      <c r="A253" s="255" t="str">
        <f>výpočty!$R$15</f>
        <v>Poziomy (z lewej strony na prawą)</v>
      </c>
      <c r="B253" s="256" t="str">
        <f>výpočty!$R$9</f>
        <v>Do tyłu</v>
      </c>
      <c r="C253" t="str">
        <f>výpočty!$R$3</f>
        <v>TOP Basic - wpuszczany do przykręcenia plastikowy</v>
      </c>
      <c r="D253" s="36" t="str">
        <f>výpočty!$W$15</f>
        <v>Aluminowa plastik (E4)</v>
      </c>
      <c r="E253" t="s">
        <v>2130</v>
      </c>
      <c r="F253">
        <v>1</v>
      </c>
      <c r="G253" s="321" t="str">
        <f>Překlady!$A$143</f>
        <v>Kolor aluminium plastik w profilu E4 jest idealny do poziomych rozwiązań w kombinacji z prowadzeniem Classic z systemem nawijania do tyłu</v>
      </c>
      <c r="H253" t="str">
        <f>VLOOKUP(A:A,výpočty!$R$14:$S$15,2,FALSE)</f>
        <v>H</v>
      </c>
      <c r="I253" t="str">
        <f>VLOOKUP(B:B,výpočty!$R$9:$S$11,2,FALSE)</f>
        <v>X</v>
      </c>
      <c r="J253" t="str">
        <f>VLOOKUP(CHYBY!C:C,výpočty!$R$3:$S$7,2,FALSE)</f>
        <v>A</v>
      </c>
      <c r="K253">
        <f>VLOOKUP(D:D,výpočty!$W$3:$X$20,2,FALSE)</f>
        <v>13</v>
      </c>
      <c r="L253" t="str">
        <f t="shared" si="9"/>
        <v>HXA13</v>
      </c>
      <c r="M253" t="str">
        <f t="shared" si="10"/>
        <v>Kolor aluminium plastik w profilu E4 jest idealny do poziomych rozwiązań w kombinacji z prowadzeniem Classic z systemem nawijania do tyłu</v>
      </c>
      <c r="N253">
        <f t="shared" si="11"/>
        <v>1</v>
      </c>
    </row>
    <row r="254" spans="1:14" ht="13.8" x14ac:dyDescent="0.3">
      <c r="A254" s="255" t="str">
        <f>výpočty!$R$15</f>
        <v>Poziomy (z lewej strony na prawą)</v>
      </c>
      <c r="B254" s="256" t="str">
        <f>výpočty!$R$9</f>
        <v>Do tyłu</v>
      </c>
      <c r="C254" t="str">
        <f>výpočty!$R$3</f>
        <v>TOP Basic - wpuszczany do przykręcenia plastikowy</v>
      </c>
      <c r="D254" s="36">
        <f>výpočty!$W$17</f>
        <v>0</v>
      </c>
      <c r="E254" t="s">
        <v>2130</v>
      </c>
      <c r="F254">
        <v>1</v>
      </c>
      <c r="G254" s="321" t="str">
        <f>Překlady!$A$144</f>
        <v>Systemu prowadzenia TOP BASIC nie da się zastosować z roletowym profilem Metallic line. Należy wybrać wersję TOP.</v>
      </c>
      <c r="H254" t="str">
        <f>VLOOKUP(A:A,výpočty!$R$14:$S$15,2,FALSE)</f>
        <v>H</v>
      </c>
      <c r="I254" t="str">
        <f>VLOOKUP(B:B,výpočty!$R$9:$S$11,2,FALSE)</f>
        <v>X</v>
      </c>
      <c r="J254" t="str">
        <f>VLOOKUP(CHYBY!C:C,výpočty!$R$3:$S$7,2,FALSE)</f>
        <v>A</v>
      </c>
      <c r="K254" t="e">
        <f>VLOOKUP(D:D,výpočty!$W$3:$X$20,2,FALSE)</f>
        <v>#N/A</v>
      </c>
      <c r="L254" t="e">
        <f t="shared" si="9"/>
        <v>#N/A</v>
      </c>
      <c r="M254" t="str">
        <f t="shared" si="10"/>
        <v>Systemu prowadzenia TOP BASIC nie da się zastosować z roletowym profilem Metallic line. Należy wybrać wersję TOP.</v>
      </c>
      <c r="N254">
        <f t="shared" si="11"/>
        <v>1</v>
      </c>
    </row>
    <row r="255" spans="1:14" ht="13.8" x14ac:dyDescent="0.3">
      <c r="A255" s="255" t="str">
        <f>výpočty!$R$15</f>
        <v>Poziomy (z lewej strony na prawą)</v>
      </c>
      <c r="B255" s="256" t="str">
        <f>výpočty!$R$9</f>
        <v>Do tyłu</v>
      </c>
      <c r="C255" t="str">
        <f>výpočty!$R$3</f>
        <v>TOP Basic - wpuszczany do przykręcenia plastikowy</v>
      </c>
      <c r="D255" s="36">
        <f>výpočty!$W$18</f>
        <v>0</v>
      </c>
      <c r="E255" t="s">
        <v>2130</v>
      </c>
      <c r="F255">
        <v>1</v>
      </c>
      <c r="G255" s="321" t="str">
        <f>Překlady!$A$144</f>
        <v>Systemu prowadzenia TOP BASIC nie da się zastosować z roletowym profilem Metallic line. Należy wybrać wersję TOP.</v>
      </c>
      <c r="H255" t="str">
        <f>VLOOKUP(A:A,výpočty!$R$14:$S$15,2,FALSE)</f>
        <v>H</v>
      </c>
      <c r="I255" t="str">
        <f>VLOOKUP(B:B,výpočty!$R$9:$S$11,2,FALSE)</f>
        <v>X</v>
      </c>
      <c r="J255" t="str">
        <f>VLOOKUP(CHYBY!C:C,výpočty!$R$3:$S$7,2,FALSE)</f>
        <v>A</v>
      </c>
      <c r="K255" t="e">
        <f>VLOOKUP(D:D,výpočty!$W$3:$X$20,2,FALSE)</f>
        <v>#N/A</v>
      </c>
      <c r="L255" t="e">
        <f t="shared" si="9"/>
        <v>#N/A</v>
      </c>
      <c r="M255" t="str">
        <f t="shared" si="10"/>
        <v>Systemu prowadzenia TOP BASIC nie da się zastosować z roletowym profilem Metallic line. Należy wybrać wersję TOP.</v>
      </c>
      <c r="N255">
        <f t="shared" si="11"/>
        <v>1</v>
      </c>
    </row>
    <row r="256" spans="1:14" ht="13.8" x14ac:dyDescent="0.3">
      <c r="A256" s="255" t="str">
        <f>výpočty!$R$15</f>
        <v>Poziomy (z lewej strony na prawą)</v>
      </c>
      <c r="B256" s="256" t="str">
        <f>výpočty!$R$9</f>
        <v>Do tyłu</v>
      </c>
      <c r="C256" t="str">
        <f>výpočty!$R$3</f>
        <v>TOP Basic - wpuszczany do przykręcenia plastikowy</v>
      </c>
      <c r="D256" s="36" t="str">
        <f>výpočty!$W$19</f>
        <v>Aluminium szerokość 25 mm (metallic-line)</v>
      </c>
      <c r="E256" t="s">
        <v>2130</v>
      </c>
      <c r="F256">
        <v>1</v>
      </c>
      <c r="G256" s="321" t="str">
        <f>Překlady!$A$144</f>
        <v>Systemu prowadzenia TOP BASIC nie da się zastosować z roletowym profilem Metallic line. Należy wybrać wersję TOP.</v>
      </c>
      <c r="H256" t="str">
        <f>VLOOKUP(A:A,výpočty!$R$14:$S$15,2,FALSE)</f>
        <v>H</v>
      </c>
      <c r="I256" t="str">
        <f>VLOOKUP(B:B,výpočty!$R$9:$S$11,2,FALSE)</f>
        <v>X</v>
      </c>
      <c r="J256" t="str">
        <f>VLOOKUP(CHYBY!C:C,výpočty!$R$3:$S$7,2,FALSE)</f>
        <v>A</v>
      </c>
      <c r="K256">
        <f>VLOOKUP(D:D,výpočty!$W$3:$X$20,2,FALSE)</f>
        <v>17</v>
      </c>
      <c r="L256" t="str">
        <f t="shared" si="9"/>
        <v>HXA17</v>
      </c>
      <c r="M256" t="str">
        <f t="shared" si="10"/>
        <v>Systemu prowadzenia TOP BASIC nie da się zastosować z roletowym profilem Metallic line. Należy wybrać wersję TOP.</v>
      </c>
      <c r="N256">
        <f t="shared" si="11"/>
        <v>1</v>
      </c>
    </row>
    <row r="257" spans="1:14" ht="14.4" thickBot="1" x14ac:dyDescent="0.35">
      <c r="A257" s="255" t="str">
        <f>výpočty!$R$15</f>
        <v>Poziomy (z lewej strony na prawą)</v>
      </c>
      <c r="B257" s="256" t="str">
        <f>výpočty!$R$9</f>
        <v>Do tyłu</v>
      </c>
      <c r="C257" t="str">
        <f>výpočty!$R$3</f>
        <v>TOP Basic - wpuszczany do przykręcenia plastikowy</v>
      </c>
      <c r="D257" s="27" t="str">
        <f>výpočty!$W$20</f>
        <v>Nierdz. szerokość 25 mm (metallic-line)</v>
      </c>
      <c r="E257" t="s">
        <v>2130</v>
      </c>
      <c r="F257">
        <v>1</v>
      </c>
      <c r="G257" s="321" t="str">
        <f>Překlady!$A$144</f>
        <v>Systemu prowadzenia TOP BASIC nie da się zastosować z roletowym profilem Metallic line. Należy wybrać wersję TOP.</v>
      </c>
      <c r="H257" t="str">
        <f>VLOOKUP(A:A,výpočty!$R$14:$S$15,2,FALSE)</f>
        <v>H</v>
      </c>
      <c r="I257" t="str">
        <f>VLOOKUP(B:B,výpočty!$R$9:$S$11,2,FALSE)</f>
        <v>X</v>
      </c>
      <c r="J257" t="str">
        <f>VLOOKUP(CHYBY!C:C,výpočty!$R$3:$S$7,2,FALSE)</f>
        <v>A</v>
      </c>
      <c r="K257">
        <f>VLOOKUP(D:D,výpočty!$W$3:$X$20,2,FALSE)</f>
        <v>18</v>
      </c>
      <c r="L257" t="str">
        <f t="shared" si="9"/>
        <v>HXA18</v>
      </c>
      <c r="M257" t="str">
        <f t="shared" si="10"/>
        <v>Systemu prowadzenia TOP BASIC nie da się zastosować z roletowym profilem Metallic line. Należy wybrać wersję TOP.</v>
      </c>
      <c r="N257">
        <f t="shared" si="11"/>
        <v>1</v>
      </c>
    </row>
    <row r="258" spans="1:14" ht="13.8" x14ac:dyDescent="0.3">
      <c r="A258" s="255" t="str">
        <f>výpočty!$R$15</f>
        <v>Poziomy (z lewej strony na prawą)</v>
      </c>
      <c r="B258" s="256" t="str">
        <f>výpočty!$R$9</f>
        <v>Do tyłu</v>
      </c>
      <c r="C258" t="str">
        <f>výpočty!$R$4</f>
        <v>Classic - wpuszczany do zafrezowania</v>
      </c>
      <c r="D258" s="26" t="str">
        <f>výpočty!$W$3</f>
        <v>Czarny (E23)</v>
      </c>
      <c r="E258" t="s">
        <v>2129</v>
      </c>
      <c r="F258">
        <v>0</v>
      </c>
      <c r="G258" t="s">
        <v>2139</v>
      </c>
      <c r="H258" t="str">
        <f>VLOOKUP(A:A,výpočty!$R$14:$S$15,2,FALSE)</f>
        <v>H</v>
      </c>
      <c r="I258" t="str">
        <f>VLOOKUP(B:B,výpočty!$R$9:$S$11,2,FALSE)</f>
        <v>X</v>
      </c>
      <c r="J258" t="str">
        <f>VLOOKUP(CHYBY!C:C,výpočty!$R$3:$S$7,2,FALSE)</f>
        <v>B</v>
      </c>
      <c r="K258">
        <f>VLOOKUP(D:D,výpočty!$W$3:$X$20,2,FALSE)</f>
        <v>1</v>
      </c>
      <c r="L258" t="str">
        <f t="shared" si="9"/>
        <v>HXB1</v>
      </c>
      <c r="M258" t="str">
        <f t="shared" si="10"/>
        <v/>
      </c>
      <c r="N258">
        <f t="shared" si="11"/>
        <v>0</v>
      </c>
    </row>
    <row r="259" spans="1:14" ht="13.8" x14ac:dyDescent="0.3">
      <c r="A259" s="255" t="str">
        <f>výpočty!$R$15</f>
        <v>Poziomy (z lewej strony na prawą)</v>
      </c>
      <c r="B259" s="256" t="str">
        <f>výpočty!$R$9</f>
        <v>Do tyłu</v>
      </c>
      <c r="C259" t="str">
        <f>výpočty!$R$4</f>
        <v>Classic - wpuszczany do zafrezowania</v>
      </c>
      <c r="D259" s="36" t="str">
        <f>výpočty!$W$4</f>
        <v>Biały (E23)</v>
      </c>
      <c r="E259" t="s">
        <v>2129</v>
      </c>
      <c r="F259">
        <v>0</v>
      </c>
      <c r="G259" t="s">
        <v>2139</v>
      </c>
      <c r="H259" t="str">
        <f>VLOOKUP(A:A,výpočty!$R$14:$S$15,2,FALSE)</f>
        <v>H</v>
      </c>
      <c r="I259" t="str">
        <f>VLOOKUP(B:B,výpočty!$R$9:$S$11,2,FALSE)</f>
        <v>X</v>
      </c>
      <c r="J259" t="str">
        <f>VLOOKUP(CHYBY!C:C,výpočty!$R$3:$S$7,2,FALSE)</f>
        <v>B</v>
      </c>
      <c r="K259">
        <f>VLOOKUP(D:D,výpočty!$W$3:$X$20,2,FALSE)</f>
        <v>2</v>
      </c>
      <c r="L259" t="str">
        <f t="shared" ref="L259:L322" si="12">TRIM(CONCATENATE(H259,I259,J259,K259))</f>
        <v>HXB2</v>
      </c>
      <c r="M259" t="str">
        <f t="shared" ref="M259:M322" si="13">IF(G:G="OK","",G:G)</f>
        <v/>
      </c>
      <c r="N259">
        <f t="shared" ref="N259:N322" si="14">F:F</f>
        <v>0</v>
      </c>
    </row>
    <row r="260" spans="1:14" ht="13.8" x14ac:dyDescent="0.3">
      <c r="A260" s="255" t="str">
        <f>výpočty!$R$15</f>
        <v>Poziomy (z lewej strony na prawą)</v>
      </c>
      <c r="B260" s="256" t="str">
        <f>výpočty!$R$9</f>
        <v>Do tyłu</v>
      </c>
      <c r="C260" t="str">
        <f>výpočty!$R$4</f>
        <v>Classic - wpuszczany do zafrezowania</v>
      </c>
      <c r="D260" s="36" t="str">
        <f>výpočty!$W$5</f>
        <v>Szary (E23)</v>
      </c>
      <c r="E260" t="s">
        <v>2129</v>
      </c>
      <c r="F260">
        <v>0</v>
      </c>
      <c r="G260" t="s">
        <v>2139</v>
      </c>
      <c r="H260" t="str">
        <f>VLOOKUP(A:A,výpočty!$R$14:$S$15,2,FALSE)</f>
        <v>H</v>
      </c>
      <c r="I260" t="str">
        <f>VLOOKUP(B:B,výpočty!$R$9:$S$11,2,FALSE)</f>
        <v>X</v>
      </c>
      <c r="J260" t="str">
        <f>VLOOKUP(CHYBY!C:C,výpočty!$R$3:$S$7,2,FALSE)</f>
        <v>B</v>
      </c>
      <c r="K260">
        <f>VLOOKUP(D:D,výpočty!$W$3:$X$20,2,FALSE)</f>
        <v>3</v>
      </c>
      <c r="L260" t="str">
        <f t="shared" si="12"/>
        <v>HXB3</v>
      </c>
      <c r="M260" t="str">
        <f t="shared" si="13"/>
        <v/>
      </c>
      <c r="N260">
        <f t="shared" si="14"/>
        <v>0</v>
      </c>
    </row>
    <row r="261" spans="1:14" ht="13.8" x14ac:dyDescent="0.3">
      <c r="A261" s="255" t="str">
        <f>výpočty!$R$15</f>
        <v>Poziomy (z lewej strony na prawą)</v>
      </c>
      <c r="B261" s="256" t="str">
        <f>výpočty!$R$9</f>
        <v>Do tyłu</v>
      </c>
      <c r="C261" t="str">
        <f>výpočty!$R$4</f>
        <v>Classic - wpuszczany do zafrezowania</v>
      </c>
      <c r="D261" s="36" t="str">
        <f>výpočty!$W$6</f>
        <v>Aluminowa plastik (E23)</v>
      </c>
      <c r="E261" t="s">
        <v>2129</v>
      </c>
      <c r="F261">
        <v>0</v>
      </c>
      <c r="G261" t="s">
        <v>2139</v>
      </c>
      <c r="H261" t="str">
        <f>VLOOKUP(A:A,výpočty!$R$14:$S$15,2,FALSE)</f>
        <v>H</v>
      </c>
      <c r="I261" t="str">
        <f>VLOOKUP(B:B,výpočty!$R$9:$S$11,2,FALSE)</f>
        <v>X</v>
      </c>
      <c r="J261" t="str">
        <f>VLOOKUP(CHYBY!C:C,výpočty!$R$3:$S$7,2,FALSE)</f>
        <v>B</v>
      </c>
      <c r="K261">
        <f>VLOOKUP(D:D,výpočty!$W$3:$X$20,2,FALSE)</f>
        <v>4</v>
      </c>
      <c r="L261" t="str">
        <f t="shared" si="12"/>
        <v>HXB4</v>
      </c>
      <c r="M261" t="str">
        <f t="shared" si="13"/>
        <v/>
      </c>
      <c r="N261">
        <f t="shared" si="14"/>
        <v>0</v>
      </c>
    </row>
    <row r="262" spans="1:14" ht="13.8" x14ac:dyDescent="0.3">
      <c r="A262" s="255" t="str">
        <f>výpočty!$R$15</f>
        <v>Poziomy (z lewej strony na prawą)</v>
      </c>
      <c r="B262" s="256" t="str">
        <f>výpočty!$R$9</f>
        <v>Do tyłu</v>
      </c>
      <c r="C262" t="str">
        <f>výpočty!$R$4</f>
        <v>Classic - wpuszczany do zafrezowania</v>
      </c>
      <c r="D262" s="36" t="str">
        <f>výpočty!$W$7</f>
        <v>Buk (E23)</v>
      </c>
      <c r="E262" t="s">
        <v>2129</v>
      </c>
      <c r="F262">
        <v>0</v>
      </c>
      <c r="G262" t="s">
        <v>2139</v>
      </c>
      <c r="H262" t="str">
        <f>VLOOKUP(A:A,výpočty!$R$14:$S$15,2,FALSE)</f>
        <v>H</v>
      </c>
      <c r="I262" t="str">
        <f>VLOOKUP(B:B,výpočty!$R$9:$S$11,2,FALSE)</f>
        <v>X</v>
      </c>
      <c r="J262" t="str">
        <f>VLOOKUP(CHYBY!C:C,výpočty!$R$3:$S$7,2,FALSE)</f>
        <v>B</v>
      </c>
      <c r="K262">
        <f>VLOOKUP(D:D,výpočty!$W$3:$X$20,2,FALSE)</f>
        <v>5</v>
      </c>
      <c r="L262" t="str">
        <f t="shared" si="12"/>
        <v>HXB5</v>
      </c>
      <c r="M262" t="str">
        <f t="shared" si="13"/>
        <v/>
      </c>
      <c r="N262">
        <f t="shared" si="14"/>
        <v>0</v>
      </c>
    </row>
    <row r="263" spans="1:14" ht="13.8" x14ac:dyDescent="0.3">
      <c r="A263" s="255" t="str">
        <f>výpočty!$R$15</f>
        <v>Poziomy (z lewej strony na prawą)</v>
      </c>
      <c r="B263" s="256" t="str">
        <f>výpočty!$R$9</f>
        <v>Do tyłu</v>
      </c>
      <c r="C263" t="str">
        <f>výpočty!$R$4</f>
        <v>Classic - wpuszczany do zafrezowania</v>
      </c>
      <c r="D263" s="36" t="str">
        <f>výpočty!$W$8</f>
        <v>Czereśnia (E23)</v>
      </c>
      <c r="E263" t="s">
        <v>2129</v>
      </c>
      <c r="F263">
        <v>0</v>
      </c>
      <c r="G263" t="s">
        <v>2139</v>
      </c>
      <c r="H263" t="str">
        <f>VLOOKUP(A:A,výpočty!$R$14:$S$15,2,FALSE)</f>
        <v>H</v>
      </c>
      <c r="I263" t="str">
        <f>VLOOKUP(B:B,výpočty!$R$9:$S$11,2,FALSE)</f>
        <v>X</v>
      </c>
      <c r="J263" t="str">
        <f>VLOOKUP(CHYBY!C:C,výpočty!$R$3:$S$7,2,FALSE)</f>
        <v>B</v>
      </c>
      <c r="K263">
        <f>VLOOKUP(D:D,výpočty!$W$3:$X$20,2,FALSE)</f>
        <v>6</v>
      </c>
      <c r="L263" t="str">
        <f t="shared" si="12"/>
        <v>HXB6</v>
      </c>
      <c r="M263" t="str">
        <f t="shared" si="13"/>
        <v/>
      </c>
      <c r="N263">
        <f t="shared" si="14"/>
        <v>0</v>
      </c>
    </row>
    <row r="264" spans="1:14" ht="13.8" x14ac:dyDescent="0.3">
      <c r="A264" s="255" t="str">
        <f>výpočty!$R$15</f>
        <v>Poziomy (z lewej strony na prawą)</v>
      </c>
      <c r="B264" s="256" t="str">
        <f>výpočty!$R$9</f>
        <v>Do tyłu</v>
      </c>
      <c r="C264" t="str">
        <f>výpočty!$R$4</f>
        <v>Classic - wpuszczany do zafrezowania</v>
      </c>
      <c r="D264" s="36" t="str">
        <f>výpočty!$W$9</f>
        <v>Klon (E23)</v>
      </c>
      <c r="E264" t="s">
        <v>2129</v>
      </c>
      <c r="F264">
        <v>0</v>
      </c>
      <c r="G264" t="s">
        <v>2139</v>
      </c>
      <c r="H264" t="str">
        <f>VLOOKUP(A:A,výpočty!$R$14:$S$15,2,FALSE)</f>
        <v>H</v>
      </c>
      <c r="I264" t="str">
        <f>VLOOKUP(B:B,výpočty!$R$9:$S$11,2,FALSE)</f>
        <v>X</v>
      </c>
      <c r="J264" t="str">
        <f>VLOOKUP(CHYBY!C:C,výpočty!$R$3:$S$7,2,FALSE)</f>
        <v>B</v>
      </c>
      <c r="K264">
        <f>VLOOKUP(D:D,výpočty!$W$3:$X$20,2,FALSE)</f>
        <v>7</v>
      </c>
      <c r="L264" t="str">
        <f t="shared" si="12"/>
        <v>HXB7</v>
      </c>
      <c r="M264" t="str">
        <f t="shared" si="13"/>
        <v/>
      </c>
      <c r="N264">
        <f t="shared" si="14"/>
        <v>0</v>
      </c>
    </row>
    <row r="265" spans="1:14" ht="13.8" x14ac:dyDescent="0.3">
      <c r="A265" s="255" t="str">
        <f>výpočty!$R$15</f>
        <v>Poziomy (z lewej strony na prawą)</v>
      </c>
      <c r="B265" s="256" t="str">
        <f>výpočty!$R$9</f>
        <v>Do tyłu</v>
      </c>
      <c r="C265" t="str">
        <f>výpočty!$R$4</f>
        <v>Classic - wpuszczany do zafrezowania</v>
      </c>
      <c r="D265" s="36" t="str">
        <f>výpočty!$W$10</f>
        <v>Brzoza (E23)</v>
      </c>
      <c r="E265" t="s">
        <v>2129</v>
      </c>
      <c r="F265">
        <v>0</v>
      </c>
      <c r="G265" t="s">
        <v>2139</v>
      </c>
      <c r="H265" t="str">
        <f>VLOOKUP(A:A,výpočty!$R$14:$S$15,2,FALSE)</f>
        <v>H</v>
      </c>
      <c r="I265" t="str">
        <f>VLOOKUP(B:B,výpočty!$R$9:$S$11,2,FALSE)</f>
        <v>X</v>
      </c>
      <c r="J265" t="str">
        <f>VLOOKUP(CHYBY!C:C,výpočty!$R$3:$S$7,2,FALSE)</f>
        <v>B</v>
      </c>
      <c r="K265">
        <f>VLOOKUP(D:D,výpočty!$W$3:$X$20,2,FALSE)</f>
        <v>8</v>
      </c>
      <c r="L265" t="str">
        <f t="shared" si="12"/>
        <v>HXB8</v>
      </c>
      <c r="M265" t="str">
        <f t="shared" si="13"/>
        <v/>
      </c>
      <c r="N265">
        <f t="shared" si="14"/>
        <v>0</v>
      </c>
    </row>
    <row r="266" spans="1:14" ht="13.8" x14ac:dyDescent="0.3">
      <c r="A266" s="255" t="str">
        <f>výpočty!$R$15</f>
        <v>Poziomy (z lewej strony na prawą)</v>
      </c>
      <c r="B266" s="256" t="str">
        <f>výpočty!$R$9</f>
        <v>Do tyłu</v>
      </c>
      <c r="C266" t="str">
        <f>výpočty!$R$4</f>
        <v>Classic - wpuszczany do zafrezowania</v>
      </c>
      <c r="D266" s="36" t="str">
        <f>výpočty!$W$11</f>
        <v>Czereśnia havana (E23)</v>
      </c>
      <c r="E266" t="s">
        <v>2129</v>
      </c>
      <c r="F266">
        <v>0</v>
      </c>
      <c r="G266" t="s">
        <v>2139</v>
      </c>
      <c r="H266" t="str">
        <f>VLOOKUP(A:A,výpočty!$R$14:$S$15,2,FALSE)</f>
        <v>H</v>
      </c>
      <c r="I266" t="str">
        <f>VLOOKUP(B:B,výpočty!$R$9:$S$11,2,FALSE)</f>
        <v>X</v>
      </c>
      <c r="J266" t="str">
        <f>VLOOKUP(CHYBY!C:C,výpočty!$R$3:$S$7,2,FALSE)</f>
        <v>B</v>
      </c>
      <c r="K266">
        <f>VLOOKUP(D:D,výpočty!$W$3:$X$20,2,FALSE)</f>
        <v>9</v>
      </c>
      <c r="L266" t="str">
        <f t="shared" si="12"/>
        <v>HXB9</v>
      </c>
      <c r="M266" t="str">
        <f t="shared" si="13"/>
        <v/>
      </c>
      <c r="N266">
        <f t="shared" si="14"/>
        <v>0</v>
      </c>
    </row>
    <row r="267" spans="1:14" ht="13.8" x14ac:dyDescent="0.3">
      <c r="A267" s="255" t="str">
        <f>výpočty!$R$15</f>
        <v>Poziomy (z lewej strony na prawą)</v>
      </c>
      <c r="B267" s="256" t="str">
        <f>výpočty!$R$9</f>
        <v>Do tyłu</v>
      </c>
      <c r="C267" t="str">
        <f>výpočty!$R$4</f>
        <v>Classic - wpuszczany do zafrezowania</v>
      </c>
      <c r="D267" s="36" t="str">
        <f>výpočty!$W$12</f>
        <v>Calvados (E23)</v>
      </c>
      <c r="E267" t="s">
        <v>2129</v>
      </c>
      <c r="F267">
        <v>0</v>
      </c>
      <c r="G267" t="s">
        <v>2139</v>
      </c>
      <c r="H267" t="str">
        <f>VLOOKUP(A:A,výpočty!$R$14:$S$15,2,FALSE)</f>
        <v>H</v>
      </c>
      <c r="I267" t="str">
        <f>VLOOKUP(B:B,výpočty!$R$9:$S$11,2,FALSE)</f>
        <v>X</v>
      </c>
      <c r="J267" t="str">
        <f>VLOOKUP(CHYBY!C:C,výpočty!$R$3:$S$7,2,FALSE)</f>
        <v>B</v>
      </c>
      <c r="K267">
        <f>VLOOKUP(D:D,výpočty!$W$3:$X$20,2,FALSE)</f>
        <v>10</v>
      </c>
      <c r="L267" t="str">
        <f t="shared" si="12"/>
        <v>HXB10</v>
      </c>
      <c r="M267" t="str">
        <f t="shared" si="13"/>
        <v/>
      </c>
      <c r="N267">
        <f t="shared" si="14"/>
        <v>0</v>
      </c>
    </row>
    <row r="268" spans="1:14" ht="13.8" x14ac:dyDescent="0.3">
      <c r="A268" s="255" t="str">
        <f>výpočty!$R$15</f>
        <v>Poziomy (z lewej strony na prawą)</v>
      </c>
      <c r="B268" s="256" t="str">
        <f>výpočty!$R$9</f>
        <v>Do tyłu</v>
      </c>
      <c r="C268" t="str">
        <f>výpočty!$R$4</f>
        <v>Classic - wpuszczany do zafrezowania</v>
      </c>
      <c r="D268" s="350" t="str">
        <f>výpočty!$W$14</f>
        <v>śnieżno biala mat (E9)</v>
      </c>
      <c r="E268" t="s">
        <v>2129</v>
      </c>
      <c r="F268">
        <v>0</v>
      </c>
      <c r="G268" t="s">
        <v>2139</v>
      </c>
      <c r="H268" t="str">
        <f>VLOOKUP(A:A,výpočty!$R$14:$S$15,2,FALSE)</f>
        <v>H</v>
      </c>
      <c r="I268" t="str">
        <f>VLOOKUP(B:B,výpočty!$R$9:$S$11,2,FALSE)</f>
        <v>X</v>
      </c>
      <c r="J268" t="str">
        <f>VLOOKUP(CHYBY!C:C,výpočty!$R$3:$S$7,2,FALSE)</f>
        <v>B</v>
      </c>
      <c r="K268">
        <f>VLOOKUP(D:D,výpočty!$W$3:$X$20,2,FALSE)</f>
        <v>12</v>
      </c>
      <c r="L268" t="str">
        <f t="shared" si="12"/>
        <v>HXB12</v>
      </c>
      <c r="M268" t="str">
        <f t="shared" si="13"/>
        <v/>
      </c>
      <c r="N268">
        <f t="shared" si="14"/>
        <v>0</v>
      </c>
    </row>
    <row r="269" spans="1:14" ht="13.8" x14ac:dyDescent="0.3">
      <c r="A269" s="255" t="str">
        <f>výpočty!$R$15</f>
        <v>Poziomy (z lewej strony na prawą)</v>
      </c>
      <c r="B269" s="256" t="str">
        <f>výpočty!$R$9</f>
        <v>Do tyłu</v>
      </c>
      <c r="C269" t="str">
        <f>výpočty!$R$4</f>
        <v>Classic - wpuszczany do zafrezowania</v>
      </c>
      <c r="D269" s="36" t="str">
        <f>výpočty!$W$15</f>
        <v>Aluminowa plastik (E4)</v>
      </c>
      <c r="E269" s="321" t="s">
        <v>2129</v>
      </c>
      <c r="F269" s="321">
        <v>0</v>
      </c>
      <c r="G269" s="321" t="s">
        <v>2139</v>
      </c>
      <c r="H269" t="str">
        <f>VLOOKUP(A:A,výpočty!$R$14:$S$15,2,FALSE)</f>
        <v>H</v>
      </c>
      <c r="I269" t="str">
        <f>VLOOKUP(B:B,výpočty!$R$9:$S$11,2,FALSE)</f>
        <v>X</v>
      </c>
      <c r="J269" t="str">
        <f>VLOOKUP(CHYBY!C:C,výpočty!$R$3:$S$7,2,FALSE)</f>
        <v>B</v>
      </c>
      <c r="K269">
        <f>VLOOKUP(D:D,výpočty!$W$3:$X$20,2,FALSE)</f>
        <v>13</v>
      </c>
      <c r="L269" t="str">
        <f t="shared" si="12"/>
        <v>HXB13</v>
      </c>
      <c r="M269" t="str">
        <f t="shared" si="13"/>
        <v/>
      </c>
      <c r="N269">
        <f t="shared" si="14"/>
        <v>0</v>
      </c>
    </row>
    <row r="270" spans="1:14" ht="13.8" x14ac:dyDescent="0.3">
      <c r="A270" s="255" t="str">
        <f>výpočty!$R$15</f>
        <v>Poziomy (z lewej strony na prawą)</v>
      </c>
      <c r="B270" s="256" t="str">
        <f>výpočty!$R$9</f>
        <v>Do tyłu</v>
      </c>
      <c r="C270" t="str">
        <f>výpočty!$R$4</f>
        <v>Classic - wpuszczany do zafrezowania</v>
      </c>
      <c r="D270" s="36">
        <f>výpočty!$W$17</f>
        <v>0</v>
      </c>
      <c r="E270" t="s">
        <v>2129</v>
      </c>
      <c r="F270">
        <v>0</v>
      </c>
      <c r="G270" t="s">
        <v>2139</v>
      </c>
      <c r="H270" t="str">
        <f>VLOOKUP(A:A,výpočty!$R$14:$S$15,2,FALSE)</f>
        <v>H</v>
      </c>
      <c r="I270" t="str">
        <f>VLOOKUP(B:B,výpočty!$R$9:$S$11,2,FALSE)</f>
        <v>X</v>
      </c>
      <c r="J270" t="str">
        <f>VLOOKUP(CHYBY!C:C,výpočty!$R$3:$S$7,2,FALSE)</f>
        <v>B</v>
      </c>
      <c r="K270" t="e">
        <f>VLOOKUP(D:D,výpočty!$W$3:$X$20,2,FALSE)</f>
        <v>#N/A</v>
      </c>
      <c r="L270" t="e">
        <f t="shared" si="12"/>
        <v>#N/A</v>
      </c>
      <c r="M270" t="str">
        <f t="shared" si="13"/>
        <v/>
      </c>
      <c r="N270">
        <f t="shared" si="14"/>
        <v>0</v>
      </c>
    </row>
    <row r="271" spans="1:14" ht="13.8" x14ac:dyDescent="0.3">
      <c r="A271" s="255" t="str">
        <f>výpočty!$R$15</f>
        <v>Poziomy (z lewej strony na prawą)</v>
      </c>
      <c r="B271" s="256" t="str">
        <f>výpočty!$R$9</f>
        <v>Do tyłu</v>
      </c>
      <c r="C271" t="str">
        <f>výpočty!$R$4</f>
        <v>Classic - wpuszczany do zafrezowania</v>
      </c>
      <c r="D271" s="36">
        <f>výpočty!$W$18</f>
        <v>0</v>
      </c>
      <c r="E271" t="s">
        <v>2129</v>
      </c>
      <c r="F271">
        <v>0</v>
      </c>
      <c r="G271" t="s">
        <v>2139</v>
      </c>
      <c r="H271" t="str">
        <f>VLOOKUP(A:A,výpočty!$R$14:$S$15,2,FALSE)</f>
        <v>H</v>
      </c>
      <c r="I271" t="str">
        <f>VLOOKUP(B:B,výpočty!$R$9:$S$11,2,FALSE)</f>
        <v>X</v>
      </c>
      <c r="J271" t="str">
        <f>VLOOKUP(CHYBY!C:C,výpočty!$R$3:$S$7,2,FALSE)</f>
        <v>B</v>
      </c>
      <c r="K271" t="e">
        <f>VLOOKUP(D:D,výpočty!$W$3:$X$20,2,FALSE)</f>
        <v>#N/A</v>
      </c>
      <c r="L271" t="e">
        <f t="shared" si="12"/>
        <v>#N/A</v>
      </c>
      <c r="M271" t="str">
        <f t="shared" si="13"/>
        <v/>
      </c>
      <c r="N271">
        <f t="shared" si="14"/>
        <v>0</v>
      </c>
    </row>
    <row r="272" spans="1:14" ht="13.8" x14ac:dyDescent="0.3">
      <c r="A272" s="255" t="str">
        <f>výpočty!$R$15</f>
        <v>Poziomy (z lewej strony na prawą)</v>
      </c>
      <c r="B272" s="256" t="str">
        <f>výpočty!$R$9</f>
        <v>Do tyłu</v>
      </c>
      <c r="C272" t="str">
        <f>výpočty!$R$4</f>
        <v>Classic - wpuszczany do zafrezowania</v>
      </c>
      <c r="D272" s="36" t="str">
        <f>výpočty!$W$19</f>
        <v>Aluminium szerokość 25 mm (metallic-line)</v>
      </c>
      <c r="E272" t="s">
        <v>2129</v>
      </c>
      <c r="F272">
        <v>0</v>
      </c>
      <c r="G272" t="s">
        <v>2139</v>
      </c>
      <c r="H272" t="str">
        <f>VLOOKUP(A:A,výpočty!$R$14:$S$15,2,FALSE)</f>
        <v>H</v>
      </c>
      <c r="I272" t="str">
        <f>VLOOKUP(B:B,výpočty!$R$9:$S$11,2,FALSE)</f>
        <v>X</v>
      </c>
      <c r="J272" t="str">
        <f>VLOOKUP(CHYBY!C:C,výpočty!$R$3:$S$7,2,FALSE)</f>
        <v>B</v>
      </c>
      <c r="K272">
        <f>VLOOKUP(D:D,výpočty!$W$3:$X$20,2,FALSE)</f>
        <v>17</v>
      </c>
      <c r="L272" t="str">
        <f t="shared" si="12"/>
        <v>HXB17</v>
      </c>
      <c r="M272" t="str">
        <f t="shared" si="13"/>
        <v/>
      </c>
      <c r="N272">
        <f t="shared" si="14"/>
        <v>0</v>
      </c>
    </row>
    <row r="273" spans="1:14" ht="14.4" thickBot="1" x14ac:dyDescent="0.35">
      <c r="A273" s="255" t="str">
        <f>výpočty!$R$15</f>
        <v>Poziomy (z lewej strony na prawą)</v>
      </c>
      <c r="B273" s="256" t="str">
        <f>výpočty!$R$9</f>
        <v>Do tyłu</v>
      </c>
      <c r="C273" t="str">
        <f>výpočty!$R$4</f>
        <v>Classic - wpuszczany do zafrezowania</v>
      </c>
      <c r="D273" s="27" t="str">
        <f>výpočty!$W$20</f>
        <v>Nierdz. szerokość 25 mm (metallic-line)</v>
      </c>
      <c r="E273" t="s">
        <v>2129</v>
      </c>
      <c r="F273">
        <v>0</v>
      </c>
      <c r="G273" t="s">
        <v>2139</v>
      </c>
      <c r="H273" t="str">
        <f>VLOOKUP(A:A,výpočty!$R$14:$S$15,2,FALSE)</f>
        <v>H</v>
      </c>
      <c r="I273" t="str">
        <f>VLOOKUP(B:B,výpočty!$R$9:$S$11,2,FALSE)</f>
        <v>X</v>
      </c>
      <c r="J273" t="str">
        <f>VLOOKUP(CHYBY!C:C,výpočty!$R$3:$S$7,2,FALSE)</f>
        <v>B</v>
      </c>
      <c r="K273">
        <f>VLOOKUP(D:D,výpočty!$W$3:$X$20,2,FALSE)</f>
        <v>18</v>
      </c>
      <c r="L273" t="str">
        <f t="shared" si="12"/>
        <v>HXB18</v>
      </c>
      <c r="M273" t="str">
        <f t="shared" si="13"/>
        <v/>
      </c>
      <c r="N273">
        <f t="shared" si="14"/>
        <v>0</v>
      </c>
    </row>
    <row r="274" spans="1:14" ht="13.8" x14ac:dyDescent="0.3">
      <c r="A274" s="255" t="str">
        <f>výpočty!$R$15</f>
        <v>Poziomy (z lewej strony na prawą)</v>
      </c>
      <c r="B274" s="256" t="str">
        <f>výpočty!$R$9</f>
        <v>Do tyłu</v>
      </c>
      <c r="C274" t="str">
        <f>výpočty!$R$5</f>
        <v>Frame - nakładany z listwą maskującą</v>
      </c>
      <c r="D274" s="26" t="str">
        <f>výpočty!$W$3</f>
        <v>Czarny (E23)</v>
      </c>
      <c r="E274" t="s">
        <v>2129</v>
      </c>
      <c r="F274">
        <v>0</v>
      </c>
      <c r="G274" t="s">
        <v>2139</v>
      </c>
      <c r="H274" t="str">
        <f>VLOOKUP(A:A,výpočty!$R$14:$S$15,2,FALSE)</f>
        <v>H</v>
      </c>
      <c r="I274" t="str">
        <f>VLOOKUP(B:B,výpočty!$R$9:$S$11,2,FALSE)</f>
        <v>X</v>
      </c>
      <c r="J274" t="str">
        <f>VLOOKUP(CHYBY!C:C,výpočty!$R$3:$S$7,2,FALSE)</f>
        <v>C</v>
      </c>
      <c r="K274">
        <f>VLOOKUP(D:D,výpočty!$W$3:$X$20,2,FALSE)</f>
        <v>1</v>
      </c>
      <c r="L274" t="str">
        <f t="shared" si="12"/>
        <v>HXC1</v>
      </c>
      <c r="M274" t="str">
        <f t="shared" si="13"/>
        <v/>
      </c>
      <c r="N274">
        <f t="shared" si="14"/>
        <v>0</v>
      </c>
    </row>
    <row r="275" spans="1:14" ht="13.8" x14ac:dyDescent="0.3">
      <c r="A275" s="255" t="str">
        <f>výpočty!$R$15</f>
        <v>Poziomy (z lewej strony na prawą)</v>
      </c>
      <c r="B275" s="256" t="str">
        <f>výpočty!$R$9</f>
        <v>Do tyłu</v>
      </c>
      <c r="C275" t="str">
        <f>výpočty!$R$5</f>
        <v>Frame - nakładany z listwą maskującą</v>
      </c>
      <c r="D275" s="36" t="str">
        <f>výpočty!$W$4</f>
        <v>Biały (E23)</v>
      </c>
      <c r="E275" t="s">
        <v>2129</v>
      </c>
      <c r="F275">
        <v>0</v>
      </c>
      <c r="G275" t="s">
        <v>2139</v>
      </c>
      <c r="H275" t="str">
        <f>VLOOKUP(A:A,výpočty!$R$14:$S$15,2,FALSE)</f>
        <v>H</v>
      </c>
      <c r="I275" t="str">
        <f>VLOOKUP(B:B,výpočty!$R$9:$S$11,2,FALSE)</f>
        <v>X</v>
      </c>
      <c r="J275" t="str">
        <f>VLOOKUP(CHYBY!C:C,výpočty!$R$3:$S$7,2,FALSE)</f>
        <v>C</v>
      </c>
      <c r="K275">
        <f>VLOOKUP(D:D,výpočty!$W$3:$X$20,2,FALSE)</f>
        <v>2</v>
      </c>
      <c r="L275" t="str">
        <f t="shared" si="12"/>
        <v>HXC2</v>
      </c>
      <c r="M275" t="str">
        <f t="shared" si="13"/>
        <v/>
      </c>
      <c r="N275">
        <f t="shared" si="14"/>
        <v>0</v>
      </c>
    </row>
    <row r="276" spans="1:14" ht="13.8" x14ac:dyDescent="0.3">
      <c r="A276" s="255" t="str">
        <f>výpočty!$R$15</f>
        <v>Poziomy (z lewej strony na prawą)</v>
      </c>
      <c r="B276" s="256" t="str">
        <f>výpočty!$R$9</f>
        <v>Do tyłu</v>
      </c>
      <c r="C276" t="str">
        <f>výpočty!$R$5</f>
        <v>Frame - nakładany z listwą maskującą</v>
      </c>
      <c r="D276" s="36" t="str">
        <f>výpočty!$W$5</f>
        <v>Szary (E23)</v>
      </c>
      <c r="E276" t="s">
        <v>2129</v>
      </c>
      <c r="F276">
        <v>0</v>
      </c>
      <c r="G276" t="s">
        <v>2139</v>
      </c>
      <c r="H276" t="str">
        <f>VLOOKUP(A:A,výpočty!$R$14:$S$15,2,FALSE)</f>
        <v>H</v>
      </c>
      <c r="I276" t="str">
        <f>VLOOKUP(B:B,výpočty!$R$9:$S$11,2,FALSE)</f>
        <v>X</v>
      </c>
      <c r="J276" t="str">
        <f>VLOOKUP(CHYBY!C:C,výpočty!$R$3:$S$7,2,FALSE)</f>
        <v>C</v>
      </c>
      <c r="K276">
        <f>VLOOKUP(D:D,výpočty!$W$3:$X$20,2,FALSE)</f>
        <v>3</v>
      </c>
      <c r="L276" t="str">
        <f t="shared" si="12"/>
        <v>HXC3</v>
      </c>
      <c r="M276" t="str">
        <f t="shared" si="13"/>
        <v/>
      </c>
      <c r="N276">
        <f t="shared" si="14"/>
        <v>0</v>
      </c>
    </row>
    <row r="277" spans="1:14" ht="13.8" x14ac:dyDescent="0.3">
      <c r="A277" s="255" t="str">
        <f>výpočty!$R$15</f>
        <v>Poziomy (z lewej strony na prawą)</v>
      </c>
      <c r="B277" s="256" t="str">
        <f>výpočty!$R$9</f>
        <v>Do tyłu</v>
      </c>
      <c r="C277" t="str">
        <f>výpočty!$R$5</f>
        <v>Frame - nakładany z listwą maskującą</v>
      </c>
      <c r="D277" s="36" t="str">
        <f>výpočty!$W$6</f>
        <v>Aluminowa plastik (E23)</v>
      </c>
      <c r="E277" t="s">
        <v>2129</v>
      </c>
      <c r="F277">
        <v>0</v>
      </c>
      <c r="G277" t="s">
        <v>2139</v>
      </c>
      <c r="H277" t="str">
        <f>VLOOKUP(A:A,výpočty!$R$14:$S$15,2,FALSE)</f>
        <v>H</v>
      </c>
      <c r="I277" t="str">
        <f>VLOOKUP(B:B,výpočty!$R$9:$S$11,2,FALSE)</f>
        <v>X</v>
      </c>
      <c r="J277" t="str">
        <f>VLOOKUP(CHYBY!C:C,výpočty!$R$3:$S$7,2,FALSE)</f>
        <v>C</v>
      </c>
      <c r="K277">
        <f>VLOOKUP(D:D,výpočty!$W$3:$X$20,2,FALSE)</f>
        <v>4</v>
      </c>
      <c r="L277" t="str">
        <f t="shared" si="12"/>
        <v>HXC4</v>
      </c>
      <c r="M277" t="str">
        <f t="shared" si="13"/>
        <v/>
      </c>
      <c r="N277">
        <f t="shared" si="14"/>
        <v>0</v>
      </c>
    </row>
    <row r="278" spans="1:14" ht="13.8" x14ac:dyDescent="0.3">
      <c r="A278" s="255" t="str">
        <f>výpočty!$R$15</f>
        <v>Poziomy (z lewej strony na prawą)</v>
      </c>
      <c r="B278" s="256" t="str">
        <f>výpočty!$R$9</f>
        <v>Do tyłu</v>
      </c>
      <c r="C278" t="str">
        <f>výpočty!$R$5</f>
        <v>Frame - nakładany z listwą maskującą</v>
      </c>
      <c r="D278" s="36" t="str">
        <f>výpočty!$W$7</f>
        <v>Buk (E23)</v>
      </c>
      <c r="E278" t="s">
        <v>2130</v>
      </c>
      <c r="F278">
        <v>0</v>
      </c>
      <c r="G278" s="321" t="str">
        <f>Překlady!$A$145</f>
        <v>Koloru BUK w profilu E23 nie da się łączyć z prowadzeniem FRAME.</v>
      </c>
      <c r="H278" t="str">
        <f>VLOOKUP(A:A,výpočty!$R$14:$S$15,2,FALSE)</f>
        <v>H</v>
      </c>
      <c r="I278" t="str">
        <f>VLOOKUP(B:B,výpočty!$R$9:$S$11,2,FALSE)</f>
        <v>X</v>
      </c>
      <c r="J278" t="str">
        <f>VLOOKUP(CHYBY!C:C,výpočty!$R$3:$S$7,2,FALSE)</f>
        <v>C</v>
      </c>
      <c r="K278">
        <f>VLOOKUP(D:D,výpočty!$W$3:$X$20,2,FALSE)</f>
        <v>5</v>
      </c>
      <c r="L278" t="str">
        <f t="shared" si="12"/>
        <v>HXC5</v>
      </c>
      <c r="M278" t="str">
        <f t="shared" si="13"/>
        <v>Koloru BUK w profilu E23 nie da się łączyć z prowadzeniem FRAME.</v>
      </c>
      <c r="N278">
        <f t="shared" si="14"/>
        <v>0</v>
      </c>
    </row>
    <row r="279" spans="1:14" ht="13.8" x14ac:dyDescent="0.3">
      <c r="A279" s="255" t="str">
        <f>výpočty!$R$15</f>
        <v>Poziomy (z lewej strony na prawą)</v>
      </c>
      <c r="B279" s="256" t="str">
        <f>výpočty!$R$9</f>
        <v>Do tyłu</v>
      </c>
      <c r="C279" t="str">
        <f>výpočty!$R$5</f>
        <v>Frame - nakładany z listwą maskującą</v>
      </c>
      <c r="D279" s="36" t="str">
        <f>výpočty!$W$8</f>
        <v>Czereśnia (E23)</v>
      </c>
      <c r="E279" t="s">
        <v>2129</v>
      </c>
      <c r="F279">
        <v>1</v>
      </c>
      <c r="G279" t="str">
        <f>Překlady!$A$176</f>
        <v>Koloru Czereśnia w profilu E23 nie da się łączyć z prowadzeniem FRAME.</v>
      </c>
      <c r="H279" t="str">
        <f>VLOOKUP(A:A,výpočty!$R$14:$S$15,2,FALSE)</f>
        <v>H</v>
      </c>
      <c r="I279" t="str">
        <f>VLOOKUP(B:B,výpočty!$R$9:$S$11,2,FALSE)</f>
        <v>X</v>
      </c>
      <c r="J279" t="str">
        <f>VLOOKUP(CHYBY!C:C,výpočty!$R$3:$S$7,2,FALSE)</f>
        <v>C</v>
      </c>
      <c r="K279">
        <f>VLOOKUP(D:D,výpočty!$W$3:$X$20,2,FALSE)</f>
        <v>6</v>
      </c>
      <c r="L279" t="str">
        <f t="shared" si="12"/>
        <v>HXC6</v>
      </c>
      <c r="M279" t="str">
        <f t="shared" si="13"/>
        <v>Koloru Czereśnia w profilu E23 nie da się łączyć z prowadzeniem FRAME.</v>
      </c>
      <c r="N279">
        <f t="shared" si="14"/>
        <v>1</v>
      </c>
    </row>
    <row r="280" spans="1:14" ht="13.8" x14ac:dyDescent="0.3">
      <c r="A280" s="255" t="str">
        <f>výpočty!$R$15</f>
        <v>Poziomy (z lewej strony na prawą)</v>
      </c>
      <c r="B280" s="256" t="str">
        <f>výpočty!$R$9</f>
        <v>Do tyłu</v>
      </c>
      <c r="C280" t="str">
        <f>výpočty!$R$5</f>
        <v>Frame - nakładany z listwą maskującą</v>
      </c>
      <c r="D280" s="36" t="str">
        <f>výpočty!$W$9</f>
        <v>Klon (E23)</v>
      </c>
      <c r="E280" t="s">
        <v>2129</v>
      </c>
      <c r="F280">
        <v>1</v>
      </c>
      <c r="G280" t="str">
        <f>Překlady!$A$177</f>
        <v>Koloru Klon w profilu E23 nie da się łączyć z prowadzeniem FRAME.</v>
      </c>
      <c r="H280" t="str">
        <f>VLOOKUP(A:A,výpočty!$R$14:$S$15,2,FALSE)</f>
        <v>H</v>
      </c>
      <c r="I280" t="str">
        <f>VLOOKUP(B:B,výpočty!$R$9:$S$11,2,FALSE)</f>
        <v>X</v>
      </c>
      <c r="J280" t="str">
        <f>VLOOKUP(CHYBY!C:C,výpočty!$R$3:$S$7,2,FALSE)</f>
        <v>C</v>
      </c>
      <c r="K280">
        <f>VLOOKUP(D:D,výpočty!$W$3:$X$20,2,FALSE)</f>
        <v>7</v>
      </c>
      <c r="L280" t="str">
        <f t="shared" si="12"/>
        <v>HXC7</v>
      </c>
      <c r="M280" t="str">
        <f t="shared" si="13"/>
        <v>Koloru Klon w profilu E23 nie da się łączyć z prowadzeniem FRAME.</v>
      </c>
      <c r="N280">
        <f t="shared" si="14"/>
        <v>1</v>
      </c>
    </row>
    <row r="281" spans="1:14" ht="13.8" x14ac:dyDescent="0.3">
      <c r="A281" s="255" t="str">
        <f>výpočty!$R$15</f>
        <v>Poziomy (z lewej strony na prawą)</v>
      </c>
      <c r="B281" s="256" t="str">
        <f>výpočty!$R$9</f>
        <v>Do tyłu</v>
      </c>
      <c r="C281" t="str">
        <f>výpočty!$R$5</f>
        <v>Frame - nakładany z listwą maskującą</v>
      </c>
      <c r="D281" s="36" t="str">
        <f>výpočty!$W$10</f>
        <v>Brzoza (E23)</v>
      </c>
      <c r="E281" t="s">
        <v>2129</v>
      </c>
      <c r="F281">
        <v>1</v>
      </c>
      <c r="G281" t="str">
        <f>Překlady!$A$175</f>
        <v>Koloru Brzoza w profilu E23 nie da się łączyć z prowadzeniem FRAME.</v>
      </c>
      <c r="H281" t="str">
        <f>VLOOKUP(A:A,výpočty!$R$14:$S$15,2,FALSE)</f>
        <v>H</v>
      </c>
      <c r="I281" t="str">
        <f>VLOOKUP(B:B,výpočty!$R$9:$S$11,2,FALSE)</f>
        <v>X</v>
      </c>
      <c r="J281" t="str">
        <f>VLOOKUP(CHYBY!C:C,výpočty!$R$3:$S$7,2,FALSE)</f>
        <v>C</v>
      </c>
      <c r="K281">
        <f>VLOOKUP(D:D,výpočty!$W$3:$X$20,2,FALSE)</f>
        <v>8</v>
      </c>
      <c r="L281" t="str">
        <f t="shared" si="12"/>
        <v>HXC8</v>
      </c>
      <c r="M281" t="str">
        <f t="shared" si="13"/>
        <v>Koloru Brzoza w profilu E23 nie da się łączyć z prowadzeniem FRAME.</v>
      </c>
      <c r="N281">
        <f t="shared" si="14"/>
        <v>1</v>
      </c>
    </row>
    <row r="282" spans="1:14" ht="13.8" x14ac:dyDescent="0.3">
      <c r="A282" s="255" t="str">
        <f>výpočty!$R$15</f>
        <v>Poziomy (z lewej strony na prawą)</v>
      </c>
      <c r="B282" s="256" t="str">
        <f>výpočty!$R$9</f>
        <v>Do tyłu</v>
      </c>
      <c r="C282" t="str">
        <f>výpočty!$R$5</f>
        <v>Frame - nakładany z listwą maskującą</v>
      </c>
      <c r="D282" s="36" t="str">
        <f>výpočty!$W$11</f>
        <v>Czereśnia havana (E23)</v>
      </c>
      <c r="E282" t="s">
        <v>2129</v>
      </c>
      <c r="F282">
        <v>1</v>
      </c>
      <c r="G282" t="str">
        <f>Překlady!$A$170</f>
        <v>Koloru Czereśnia havana w profilu E23 nie da się łączyć z prowadzeniem FRAME.</v>
      </c>
      <c r="H282" t="str">
        <f>VLOOKUP(A:A,výpočty!$R$14:$S$15,2,FALSE)</f>
        <v>H</v>
      </c>
      <c r="I282" t="str">
        <f>VLOOKUP(B:B,výpočty!$R$9:$S$11,2,FALSE)</f>
        <v>X</v>
      </c>
      <c r="J282" t="str">
        <f>VLOOKUP(CHYBY!C:C,výpočty!$R$3:$S$7,2,FALSE)</f>
        <v>C</v>
      </c>
      <c r="K282">
        <f>VLOOKUP(D:D,výpočty!$W$3:$X$20,2,FALSE)</f>
        <v>9</v>
      </c>
      <c r="L282" t="str">
        <f t="shared" si="12"/>
        <v>HXC9</v>
      </c>
      <c r="M282" t="str">
        <f t="shared" si="13"/>
        <v>Koloru Czereśnia havana w profilu E23 nie da się łączyć z prowadzeniem FRAME.</v>
      </c>
      <c r="N282">
        <f t="shared" si="14"/>
        <v>1</v>
      </c>
    </row>
    <row r="283" spans="1:14" ht="13.8" x14ac:dyDescent="0.3">
      <c r="A283" s="255" t="str">
        <f>výpočty!$R$15</f>
        <v>Poziomy (z lewej strony na prawą)</v>
      </c>
      <c r="B283" s="256" t="str">
        <f>výpočty!$R$9</f>
        <v>Do tyłu</v>
      </c>
      <c r="C283" t="str">
        <f>výpočty!$R$5</f>
        <v>Frame - nakładany z listwą maskującą</v>
      </c>
      <c r="D283" s="36" t="str">
        <f>výpočty!$W$12</f>
        <v>Calvados (E23)</v>
      </c>
      <c r="E283" t="s">
        <v>2129</v>
      </c>
      <c r="F283">
        <v>0</v>
      </c>
      <c r="G283" t="s">
        <v>2139</v>
      </c>
      <c r="H283" t="str">
        <f>VLOOKUP(A:A,výpočty!$R$14:$S$15,2,FALSE)</f>
        <v>H</v>
      </c>
      <c r="I283" t="str">
        <f>VLOOKUP(B:B,výpočty!$R$9:$S$11,2,FALSE)</f>
        <v>X</v>
      </c>
      <c r="J283" t="str">
        <f>VLOOKUP(CHYBY!C:C,výpočty!$R$3:$S$7,2,FALSE)</f>
        <v>C</v>
      </c>
      <c r="K283">
        <f>VLOOKUP(D:D,výpočty!$W$3:$X$20,2,FALSE)</f>
        <v>10</v>
      </c>
      <c r="L283" t="str">
        <f t="shared" si="12"/>
        <v>HXC10</v>
      </c>
      <c r="M283" t="str">
        <f t="shared" si="13"/>
        <v/>
      </c>
      <c r="N283">
        <f t="shared" si="14"/>
        <v>0</v>
      </c>
    </row>
    <row r="284" spans="1:14" ht="13.8" x14ac:dyDescent="0.3">
      <c r="A284" s="255" t="str">
        <f>výpočty!$R$15</f>
        <v>Poziomy (z lewej strony na prawą)</v>
      </c>
      <c r="B284" s="256" t="str">
        <f>výpočty!$R$9</f>
        <v>Do tyłu</v>
      </c>
      <c r="C284" t="str">
        <f>výpočty!$R$5</f>
        <v>Frame - nakładany z listwą maskującą</v>
      </c>
      <c r="D284" s="36" t="str">
        <f>výpočty!$W$14</f>
        <v>śnieżno biala mat (E9)</v>
      </c>
      <c r="E284" s="321" t="s">
        <v>2130</v>
      </c>
      <c r="F284" s="321">
        <v>1</v>
      </c>
      <c r="G284" s="321" t="str">
        <f>Překlady!$A$142</f>
        <v>Kolor śnieżno biały w profilu E9 można łączyć jedynie z prowadzeniem Classic i systemem nawijania do tyłu</v>
      </c>
      <c r="H284" t="str">
        <f>VLOOKUP(A:A,výpočty!$R$14:$S$15,2,FALSE)</f>
        <v>H</v>
      </c>
      <c r="I284" t="str">
        <f>VLOOKUP(B:B,výpočty!$R$9:$S$11,2,FALSE)</f>
        <v>X</v>
      </c>
      <c r="J284" t="str">
        <f>VLOOKUP(CHYBY!C:C,výpočty!$R$3:$S$7,2,FALSE)</f>
        <v>C</v>
      </c>
      <c r="K284">
        <f>VLOOKUP(D:D,výpočty!$W$3:$X$20,2,FALSE)</f>
        <v>12</v>
      </c>
      <c r="L284" t="str">
        <f t="shared" si="12"/>
        <v>HXC12</v>
      </c>
      <c r="M284" t="str">
        <f t="shared" si="13"/>
        <v>Kolor śnieżno biały w profilu E9 można łączyć jedynie z prowadzeniem Classic i systemem nawijania do tyłu</v>
      </c>
      <c r="N284">
        <f t="shared" si="14"/>
        <v>1</v>
      </c>
    </row>
    <row r="285" spans="1:14" ht="13.8" x14ac:dyDescent="0.3">
      <c r="A285" s="255" t="str">
        <f>výpočty!$R$15</f>
        <v>Poziomy (z lewej strony na prawą)</v>
      </c>
      <c r="B285" s="256" t="str">
        <f>výpočty!$R$9</f>
        <v>Do tyłu</v>
      </c>
      <c r="C285" t="str">
        <f>výpočty!$R$5</f>
        <v>Frame - nakładany z listwą maskującą</v>
      </c>
      <c r="D285" s="36" t="str">
        <f>výpočty!$W$15</f>
        <v>Aluminowa plastik (E4)</v>
      </c>
      <c r="E285" t="s">
        <v>2130</v>
      </c>
      <c r="F285">
        <v>1</v>
      </c>
      <c r="G285" s="321" t="str">
        <f>Překlady!$A$143</f>
        <v>Kolor aluminium plastik w profilu E4 jest idealny do poziomych rozwiązań w kombinacji z prowadzeniem Classic z systemem nawijania do tyłu</v>
      </c>
      <c r="H285" t="str">
        <f>VLOOKUP(A:A,výpočty!$R$14:$S$15,2,FALSE)</f>
        <v>H</v>
      </c>
      <c r="I285" t="str">
        <f>VLOOKUP(B:B,výpočty!$R$9:$S$11,2,FALSE)</f>
        <v>X</v>
      </c>
      <c r="J285" t="str">
        <f>VLOOKUP(CHYBY!C:C,výpočty!$R$3:$S$7,2,FALSE)</f>
        <v>C</v>
      </c>
      <c r="K285">
        <f>VLOOKUP(D:D,výpočty!$W$3:$X$20,2,FALSE)</f>
        <v>13</v>
      </c>
      <c r="L285" t="str">
        <f t="shared" si="12"/>
        <v>HXC13</v>
      </c>
      <c r="M285" t="str">
        <f t="shared" si="13"/>
        <v>Kolor aluminium plastik w profilu E4 jest idealny do poziomych rozwiązań w kombinacji z prowadzeniem Classic z systemem nawijania do tyłu</v>
      </c>
      <c r="N285">
        <f t="shared" si="14"/>
        <v>1</v>
      </c>
    </row>
    <row r="286" spans="1:14" ht="13.8" x14ac:dyDescent="0.3">
      <c r="A286" s="255" t="str">
        <f>výpočty!$R$15</f>
        <v>Poziomy (z lewej strony na prawą)</v>
      </c>
      <c r="B286" s="256" t="str">
        <f>výpočty!$R$9</f>
        <v>Do tyłu</v>
      </c>
      <c r="C286" t="str">
        <f>výpočty!$R$5</f>
        <v>Frame - nakładany z listwą maskującą</v>
      </c>
      <c r="D286" s="36">
        <f>výpočty!$W$17</f>
        <v>0</v>
      </c>
      <c r="E286" t="s">
        <v>2129</v>
      </c>
      <c r="F286">
        <v>0</v>
      </c>
      <c r="G286" t="s">
        <v>2139</v>
      </c>
      <c r="H286" t="str">
        <f>VLOOKUP(A:A,výpočty!$R$14:$S$15,2,FALSE)</f>
        <v>H</v>
      </c>
      <c r="I286" t="str">
        <f>VLOOKUP(B:B,výpočty!$R$9:$S$11,2,FALSE)</f>
        <v>X</v>
      </c>
      <c r="J286" t="str">
        <f>VLOOKUP(CHYBY!C:C,výpočty!$R$3:$S$7,2,FALSE)</f>
        <v>C</v>
      </c>
      <c r="K286" t="e">
        <f>VLOOKUP(D:D,výpočty!$W$3:$X$20,2,FALSE)</f>
        <v>#N/A</v>
      </c>
      <c r="L286" t="e">
        <f t="shared" si="12"/>
        <v>#N/A</v>
      </c>
      <c r="M286" t="str">
        <f t="shared" si="13"/>
        <v/>
      </c>
      <c r="N286">
        <f t="shared" si="14"/>
        <v>0</v>
      </c>
    </row>
    <row r="287" spans="1:14" ht="13.8" x14ac:dyDescent="0.3">
      <c r="A287" s="255" t="str">
        <f>výpočty!$R$15</f>
        <v>Poziomy (z lewej strony na prawą)</v>
      </c>
      <c r="B287" s="256" t="str">
        <f>výpočty!$R$9</f>
        <v>Do tyłu</v>
      </c>
      <c r="C287" t="str">
        <f>výpočty!$R$5</f>
        <v>Frame - nakładany z listwą maskującą</v>
      </c>
      <c r="D287" s="36">
        <f>výpočty!$W$18</f>
        <v>0</v>
      </c>
      <c r="E287" t="s">
        <v>2129</v>
      </c>
      <c r="F287">
        <v>0</v>
      </c>
      <c r="G287" t="s">
        <v>2139</v>
      </c>
      <c r="H287" t="str">
        <f>VLOOKUP(A:A,výpočty!$R$14:$S$15,2,FALSE)</f>
        <v>H</v>
      </c>
      <c r="I287" t="str">
        <f>VLOOKUP(B:B,výpočty!$R$9:$S$11,2,FALSE)</f>
        <v>X</v>
      </c>
      <c r="J287" t="str">
        <f>VLOOKUP(CHYBY!C:C,výpočty!$R$3:$S$7,2,FALSE)</f>
        <v>C</v>
      </c>
      <c r="K287" t="e">
        <f>VLOOKUP(D:D,výpočty!$W$3:$X$20,2,FALSE)</f>
        <v>#N/A</v>
      </c>
      <c r="L287" t="e">
        <f t="shared" si="12"/>
        <v>#N/A</v>
      </c>
      <c r="M287" t="str">
        <f t="shared" si="13"/>
        <v/>
      </c>
      <c r="N287">
        <f t="shared" si="14"/>
        <v>0</v>
      </c>
    </row>
    <row r="288" spans="1:14" ht="13.8" x14ac:dyDescent="0.3">
      <c r="A288" s="255" t="str">
        <f>výpočty!$R$15</f>
        <v>Poziomy (z lewej strony na prawą)</v>
      </c>
      <c r="B288" s="256" t="str">
        <f>výpočty!$R$9</f>
        <v>Do tyłu</v>
      </c>
      <c r="C288" t="str">
        <f>výpočty!$R$5</f>
        <v>Frame - nakładany z listwą maskującą</v>
      </c>
      <c r="D288" s="36" t="str">
        <f>výpočty!$W$19</f>
        <v>Aluminium szerokość 25 mm (metallic-line)</v>
      </c>
      <c r="E288" t="s">
        <v>2129</v>
      </c>
      <c r="F288">
        <v>0</v>
      </c>
      <c r="G288" t="s">
        <v>2139</v>
      </c>
      <c r="H288" t="str">
        <f>VLOOKUP(A:A,výpočty!$R$14:$S$15,2,FALSE)</f>
        <v>H</v>
      </c>
      <c r="I288" t="str">
        <f>VLOOKUP(B:B,výpočty!$R$9:$S$11,2,FALSE)</f>
        <v>X</v>
      </c>
      <c r="J288" t="str">
        <f>VLOOKUP(CHYBY!C:C,výpočty!$R$3:$S$7,2,FALSE)</f>
        <v>C</v>
      </c>
      <c r="K288">
        <f>VLOOKUP(D:D,výpočty!$W$3:$X$20,2,FALSE)</f>
        <v>17</v>
      </c>
      <c r="L288" t="str">
        <f t="shared" si="12"/>
        <v>HXC17</v>
      </c>
      <c r="M288" t="str">
        <f t="shared" si="13"/>
        <v/>
      </c>
      <c r="N288">
        <f t="shared" si="14"/>
        <v>0</v>
      </c>
    </row>
    <row r="289" spans="1:14" ht="14.4" thickBot="1" x14ac:dyDescent="0.35">
      <c r="A289" s="255" t="str">
        <f>výpočty!$R$15</f>
        <v>Poziomy (z lewej strony na prawą)</v>
      </c>
      <c r="B289" s="256" t="str">
        <f>výpočty!$R$9</f>
        <v>Do tyłu</v>
      </c>
      <c r="C289" t="str">
        <f>výpočty!$R$5</f>
        <v>Frame - nakładany z listwą maskującą</v>
      </c>
      <c r="D289" s="27" t="str">
        <f>výpočty!$W$20</f>
        <v>Nierdz. szerokość 25 mm (metallic-line)</v>
      </c>
      <c r="E289" t="s">
        <v>2129</v>
      </c>
      <c r="F289">
        <v>0</v>
      </c>
      <c r="G289" t="s">
        <v>2139</v>
      </c>
      <c r="H289" t="str">
        <f>VLOOKUP(A:A,výpočty!$R$14:$S$15,2,FALSE)</f>
        <v>H</v>
      </c>
      <c r="I289" t="str">
        <f>VLOOKUP(B:B,výpočty!$R$9:$S$11,2,FALSE)</f>
        <v>X</v>
      </c>
      <c r="J289" t="str">
        <f>VLOOKUP(CHYBY!C:C,výpočty!$R$3:$S$7,2,FALSE)</f>
        <v>C</v>
      </c>
      <c r="K289">
        <f>VLOOKUP(D:D,výpočty!$W$3:$X$20,2,FALSE)</f>
        <v>18</v>
      </c>
      <c r="L289" t="str">
        <f t="shared" si="12"/>
        <v>HXC18</v>
      </c>
      <c r="M289" t="str">
        <f t="shared" si="13"/>
        <v/>
      </c>
      <c r="N289">
        <f t="shared" si="14"/>
        <v>0</v>
      </c>
    </row>
    <row r="290" spans="1:14" ht="13.8" x14ac:dyDescent="0.3">
      <c r="A290" s="255" t="str">
        <f>výpočty!$R$15</f>
        <v>Poziomy (z lewej strony na prawą)</v>
      </c>
      <c r="B290" s="256" t="str">
        <f>výpočty!$R$9</f>
        <v>Do tyłu</v>
      </c>
      <c r="C290" t="str">
        <f>výpočty!$R$6</f>
        <v>TOP - wpuszczany do przykręcenia metalowy z listwą maskującą</v>
      </c>
      <c r="D290" s="26" t="str">
        <f>výpočty!$W$3</f>
        <v>Czarny (E23)</v>
      </c>
      <c r="E290" t="s">
        <v>2129</v>
      </c>
      <c r="F290">
        <v>0</v>
      </c>
      <c r="G290" t="s">
        <v>2139</v>
      </c>
      <c r="H290" t="str">
        <f>VLOOKUP(A:A,výpočty!$R$14:$S$15,2,FALSE)</f>
        <v>H</v>
      </c>
      <c r="I290" t="str">
        <f>VLOOKUP(B:B,výpočty!$R$9:$S$11,2,FALSE)</f>
        <v>X</v>
      </c>
      <c r="J290" t="str">
        <f>VLOOKUP(CHYBY!C:C,výpočty!$R$3:$S$7,2,FALSE)</f>
        <v>D</v>
      </c>
      <c r="K290">
        <f>VLOOKUP(D:D,výpočty!$W$3:$X$20,2,FALSE)</f>
        <v>1</v>
      </c>
      <c r="L290" t="str">
        <f t="shared" si="12"/>
        <v>HXD1</v>
      </c>
      <c r="M290" t="str">
        <f t="shared" si="13"/>
        <v/>
      </c>
      <c r="N290">
        <f t="shared" si="14"/>
        <v>0</v>
      </c>
    </row>
    <row r="291" spans="1:14" ht="13.8" x14ac:dyDescent="0.3">
      <c r="A291" s="255" t="str">
        <f>výpočty!$R$15</f>
        <v>Poziomy (z lewej strony na prawą)</v>
      </c>
      <c r="B291" s="256" t="str">
        <f>výpočty!$R$9</f>
        <v>Do tyłu</v>
      </c>
      <c r="C291" t="str">
        <f>výpočty!$R$6</f>
        <v>TOP - wpuszczany do przykręcenia metalowy z listwą maskującą</v>
      </c>
      <c r="D291" s="36" t="str">
        <f>výpočty!$W$4</f>
        <v>Biały (E23)</v>
      </c>
      <c r="E291" t="s">
        <v>2129</v>
      </c>
      <c r="F291">
        <v>0</v>
      </c>
      <c r="G291" t="s">
        <v>2139</v>
      </c>
      <c r="H291" t="str">
        <f>VLOOKUP(A:A,výpočty!$R$14:$S$15,2,FALSE)</f>
        <v>H</v>
      </c>
      <c r="I291" t="str">
        <f>VLOOKUP(B:B,výpočty!$R$9:$S$11,2,FALSE)</f>
        <v>X</v>
      </c>
      <c r="J291" t="str">
        <f>VLOOKUP(CHYBY!C:C,výpočty!$R$3:$S$7,2,FALSE)</f>
        <v>D</v>
      </c>
      <c r="K291">
        <f>VLOOKUP(D:D,výpočty!$W$3:$X$20,2,FALSE)</f>
        <v>2</v>
      </c>
      <c r="L291" t="str">
        <f t="shared" si="12"/>
        <v>HXD2</v>
      </c>
      <c r="M291" t="str">
        <f t="shared" si="13"/>
        <v/>
      </c>
      <c r="N291">
        <f t="shared" si="14"/>
        <v>0</v>
      </c>
    </row>
    <row r="292" spans="1:14" ht="13.8" x14ac:dyDescent="0.3">
      <c r="A292" s="255" t="str">
        <f>výpočty!$R$15</f>
        <v>Poziomy (z lewej strony na prawą)</v>
      </c>
      <c r="B292" s="256" t="str">
        <f>výpočty!$R$9</f>
        <v>Do tyłu</v>
      </c>
      <c r="C292" t="str">
        <f>výpočty!$R$6</f>
        <v>TOP - wpuszczany do przykręcenia metalowy z listwą maskującą</v>
      </c>
      <c r="D292" s="36" t="str">
        <f>výpočty!$W$5</f>
        <v>Szary (E23)</v>
      </c>
      <c r="E292" t="s">
        <v>2129</v>
      </c>
      <c r="F292">
        <v>0</v>
      </c>
      <c r="G292" t="s">
        <v>2139</v>
      </c>
      <c r="H292" t="str">
        <f>VLOOKUP(A:A,výpočty!$R$14:$S$15,2,FALSE)</f>
        <v>H</v>
      </c>
      <c r="I292" t="str">
        <f>VLOOKUP(B:B,výpočty!$R$9:$S$11,2,FALSE)</f>
        <v>X</v>
      </c>
      <c r="J292" t="str">
        <f>VLOOKUP(CHYBY!C:C,výpočty!$R$3:$S$7,2,FALSE)</f>
        <v>D</v>
      </c>
      <c r="K292">
        <f>VLOOKUP(D:D,výpočty!$W$3:$X$20,2,FALSE)</f>
        <v>3</v>
      </c>
      <c r="L292" t="str">
        <f t="shared" si="12"/>
        <v>HXD3</v>
      </c>
      <c r="M292" t="str">
        <f t="shared" si="13"/>
        <v/>
      </c>
      <c r="N292">
        <f t="shared" si="14"/>
        <v>0</v>
      </c>
    </row>
    <row r="293" spans="1:14" ht="13.8" x14ac:dyDescent="0.3">
      <c r="A293" s="255" t="str">
        <f>výpočty!$R$15</f>
        <v>Poziomy (z lewej strony na prawą)</v>
      </c>
      <c r="B293" s="256" t="str">
        <f>výpočty!$R$9</f>
        <v>Do tyłu</v>
      </c>
      <c r="C293" t="str">
        <f>výpočty!$R$6</f>
        <v>TOP - wpuszczany do przykręcenia metalowy z listwą maskującą</v>
      </c>
      <c r="D293" s="36" t="str">
        <f>výpočty!$W$6</f>
        <v>Aluminowa plastik (E23)</v>
      </c>
      <c r="E293" t="s">
        <v>2129</v>
      </c>
      <c r="F293">
        <v>0</v>
      </c>
      <c r="G293" t="s">
        <v>2139</v>
      </c>
      <c r="H293" t="str">
        <f>VLOOKUP(A:A,výpočty!$R$14:$S$15,2,FALSE)</f>
        <v>H</v>
      </c>
      <c r="I293" t="str">
        <f>VLOOKUP(B:B,výpočty!$R$9:$S$11,2,FALSE)</f>
        <v>X</v>
      </c>
      <c r="J293" t="str">
        <f>VLOOKUP(CHYBY!C:C,výpočty!$R$3:$S$7,2,FALSE)</f>
        <v>D</v>
      </c>
      <c r="K293">
        <f>VLOOKUP(D:D,výpočty!$W$3:$X$20,2,FALSE)</f>
        <v>4</v>
      </c>
      <c r="L293" t="str">
        <f t="shared" si="12"/>
        <v>HXD4</v>
      </c>
      <c r="M293" t="str">
        <f t="shared" si="13"/>
        <v/>
      </c>
      <c r="N293">
        <f t="shared" si="14"/>
        <v>0</v>
      </c>
    </row>
    <row r="294" spans="1:14" ht="13.8" x14ac:dyDescent="0.3">
      <c r="A294" s="255" t="str">
        <f>výpočty!$R$15</f>
        <v>Poziomy (z lewej strony na prawą)</v>
      </c>
      <c r="B294" s="256" t="str">
        <f>výpočty!$R$9</f>
        <v>Do tyłu</v>
      </c>
      <c r="C294" t="str">
        <f>výpočty!$R$6</f>
        <v>TOP - wpuszczany do przykręcenia metalowy z listwą maskującą</v>
      </c>
      <c r="D294" s="36" t="str">
        <f>výpočty!$W$7</f>
        <v>Buk (E23)</v>
      </c>
      <c r="E294" t="s">
        <v>2129</v>
      </c>
      <c r="F294">
        <v>0</v>
      </c>
      <c r="G294" t="s">
        <v>2139</v>
      </c>
      <c r="H294" t="str">
        <f>VLOOKUP(A:A,výpočty!$R$14:$S$15,2,FALSE)</f>
        <v>H</v>
      </c>
      <c r="I294" t="str">
        <f>VLOOKUP(B:B,výpočty!$R$9:$S$11,2,FALSE)</f>
        <v>X</v>
      </c>
      <c r="J294" t="str">
        <f>VLOOKUP(CHYBY!C:C,výpočty!$R$3:$S$7,2,FALSE)</f>
        <v>D</v>
      </c>
      <c r="K294">
        <f>VLOOKUP(D:D,výpočty!$W$3:$X$20,2,FALSE)</f>
        <v>5</v>
      </c>
      <c r="L294" t="str">
        <f t="shared" si="12"/>
        <v>HXD5</v>
      </c>
      <c r="M294" t="str">
        <f t="shared" si="13"/>
        <v/>
      </c>
      <c r="N294">
        <f t="shared" si="14"/>
        <v>0</v>
      </c>
    </row>
    <row r="295" spans="1:14" ht="13.8" x14ac:dyDescent="0.3">
      <c r="A295" s="255" t="str">
        <f>výpočty!$R$15</f>
        <v>Poziomy (z lewej strony na prawą)</v>
      </c>
      <c r="B295" s="256" t="str">
        <f>výpočty!$R$9</f>
        <v>Do tyłu</v>
      </c>
      <c r="C295" t="str">
        <f>výpočty!$R$6</f>
        <v>TOP - wpuszczany do przykręcenia metalowy z listwą maskującą</v>
      </c>
      <c r="D295" s="36" t="str">
        <f>výpočty!$W$8</f>
        <v>Czereśnia (E23)</v>
      </c>
      <c r="E295" t="s">
        <v>2129</v>
      </c>
      <c r="F295">
        <v>0</v>
      </c>
      <c r="G295" t="s">
        <v>2139</v>
      </c>
      <c r="H295" t="str">
        <f>VLOOKUP(A:A,výpočty!$R$14:$S$15,2,FALSE)</f>
        <v>H</v>
      </c>
      <c r="I295" t="str">
        <f>VLOOKUP(B:B,výpočty!$R$9:$S$11,2,FALSE)</f>
        <v>X</v>
      </c>
      <c r="J295" t="str">
        <f>VLOOKUP(CHYBY!C:C,výpočty!$R$3:$S$7,2,FALSE)</f>
        <v>D</v>
      </c>
      <c r="K295">
        <f>VLOOKUP(D:D,výpočty!$W$3:$X$20,2,FALSE)</f>
        <v>6</v>
      </c>
      <c r="L295" t="str">
        <f t="shared" si="12"/>
        <v>HXD6</v>
      </c>
      <c r="M295" t="str">
        <f t="shared" si="13"/>
        <v/>
      </c>
      <c r="N295">
        <f t="shared" si="14"/>
        <v>0</v>
      </c>
    </row>
    <row r="296" spans="1:14" ht="13.8" x14ac:dyDescent="0.3">
      <c r="A296" s="255" t="str">
        <f>výpočty!$R$15</f>
        <v>Poziomy (z lewej strony na prawą)</v>
      </c>
      <c r="B296" s="256" t="str">
        <f>výpočty!$R$9</f>
        <v>Do tyłu</v>
      </c>
      <c r="C296" t="str">
        <f>výpočty!$R$6</f>
        <v>TOP - wpuszczany do przykręcenia metalowy z listwą maskującą</v>
      </c>
      <c r="D296" s="36" t="str">
        <f>výpočty!$W$9</f>
        <v>Klon (E23)</v>
      </c>
      <c r="E296" t="s">
        <v>2129</v>
      </c>
      <c r="F296">
        <v>0</v>
      </c>
      <c r="G296" t="s">
        <v>2139</v>
      </c>
      <c r="H296" t="str">
        <f>VLOOKUP(A:A,výpočty!$R$14:$S$15,2,FALSE)</f>
        <v>H</v>
      </c>
      <c r="I296" t="str">
        <f>VLOOKUP(B:B,výpočty!$R$9:$S$11,2,FALSE)</f>
        <v>X</v>
      </c>
      <c r="J296" t="str">
        <f>VLOOKUP(CHYBY!C:C,výpočty!$R$3:$S$7,2,FALSE)</f>
        <v>D</v>
      </c>
      <c r="K296">
        <f>VLOOKUP(D:D,výpočty!$W$3:$X$20,2,FALSE)</f>
        <v>7</v>
      </c>
      <c r="L296" t="str">
        <f t="shared" si="12"/>
        <v>HXD7</v>
      </c>
      <c r="M296" t="str">
        <f t="shared" si="13"/>
        <v/>
      </c>
      <c r="N296">
        <f t="shared" si="14"/>
        <v>0</v>
      </c>
    </row>
    <row r="297" spans="1:14" ht="13.8" x14ac:dyDescent="0.3">
      <c r="A297" s="255" t="str">
        <f>výpočty!$R$15</f>
        <v>Poziomy (z lewej strony na prawą)</v>
      </c>
      <c r="B297" s="256" t="str">
        <f>výpočty!$R$9</f>
        <v>Do tyłu</v>
      </c>
      <c r="C297" t="str">
        <f>výpočty!$R$6</f>
        <v>TOP - wpuszczany do przykręcenia metalowy z listwą maskującą</v>
      </c>
      <c r="D297" s="36" t="str">
        <f>výpočty!$W$10</f>
        <v>Brzoza (E23)</v>
      </c>
      <c r="E297" t="s">
        <v>2129</v>
      </c>
      <c r="F297">
        <v>0</v>
      </c>
      <c r="G297" t="s">
        <v>2139</v>
      </c>
      <c r="H297" t="str">
        <f>VLOOKUP(A:A,výpočty!$R$14:$S$15,2,FALSE)</f>
        <v>H</v>
      </c>
      <c r="I297" t="str">
        <f>VLOOKUP(B:B,výpočty!$R$9:$S$11,2,FALSE)</f>
        <v>X</v>
      </c>
      <c r="J297" t="str">
        <f>VLOOKUP(CHYBY!C:C,výpočty!$R$3:$S$7,2,FALSE)</f>
        <v>D</v>
      </c>
      <c r="K297">
        <f>VLOOKUP(D:D,výpočty!$W$3:$X$20,2,FALSE)</f>
        <v>8</v>
      </c>
      <c r="L297" t="str">
        <f t="shared" si="12"/>
        <v>HXD8</v>
      </c>
      <c r="M297" t="str">
        <f t="shared" si="13"/>
        <v/>
      </c>
      <c r="N297">
        <f t="shared" si="14"/>
        <v>0</v>
      </c>
    </row>
    <row r="298" spans="1:14" ht="13.8" x14ac:dyDescent="0.3">
      <c r="A298" s="255" t="str">
        <f>výpočty!$R$15</f>
        <v>Poziomy (z lewej strony na prawą)</v>
      </c>
      <c r="B298" s="256" t="str">
        <f>výpočty!$R$9</f>
        <v>Do tyłu</v>
      </c>
      <c r="C298" t="str">
        <f>výpočty!$R$6</f>
        <v>TOP - wpuszczany do przykręcenia metalowy z listwą maskującą</v>
      </c>
      <c r="D298" s="36" t="str">
        <f>výpočty!$W$11</f>
        <v>Czereśnia havana (E23)</v>
      </c>
      <c r="E298" t="s">
        <v>2129</v>
      </c>
      <c r="F298">
        <v>0</v>
      </c>
      <c r="G298" t="s">
        <v>2139</v>
      </c>
      <c r="H298" t="str">
        <f>VLOOKUP(A:A,výpočty!$R$14:$S$15,2,FALSE)</f>
        <v>H</v>
      </c>
      <c r="I298" t="str">
        <f>VLOOKUP(B:B,výpočty!$R$9:$S$11,2,FALSE)</f>
        <v>X</v>
      </c>
      <c r="J298" t="str">
        <f>VLOOKUP(CHYBY!C:C,výpočty!$R$3:$S$7,2,FALSE)</f>
        <v>D</v>
      </c>
      <c r="K298">
        <f>VLOOKUP(D:D,výpočty!$W$3:$X$20,2,FALSE)</f>
        <v>9</v>
      </c>
      <c r="L298" t="str">
        <f t="shared" si="12"/>
        <v>HXD9</v>
      </c>
      <c r="M298" t="str">
        <f t="shared" si="13"/>
        <v/>
      </c>
      <c r="N298">
        <f t="shared" si="14"/>
        <v>0</v>
      </c>
    </row>
    <row r="299" spans="1:14" ht="13.8" x14ac:dyDescent="0.3">
      <c r="A299" s="255" t="str">
        <f>výpočty!$R$15</f>
        <v>Poziomy (z lewej strony na prawą)</v>
      </c>
      <c r="B299" s="256" t="str">
        <f>výpočty!$R$9</f>
        <v>Do tyłu</v>
      </c>
      <c r="C299" t="str">
        <f>výpočty!$R$6</f>
        <v>TOP - wpuszczany do przykręcenia metalowy z listwą maskującą</v>
      </c>
      <c r="D299" s="36" t="str">
        <f>výpočty!$W$12</f>
        <v>Calvados (E23)</v>
      </c>
      <c r="E299" t="s">
        <v>2129</v>
      </c>
      <c r="F299">
        <v>0</v>
      </c>
      <c r="G299" t="s">
        <v>2139</v>
      </c>
      <c r="H299" t="str">
        <f>VLOOKUP(A:A,výpočty!$R$14:$S$15,2,FALSE)</f>
        <v>H</v>
      </c>
      <c r="I299" t="str">
        <f>VLOOKUP(B:B,výpočty!$R$9:$S$11,2,FALSE)</f>
        <v>X</v>
      </c>
      <c r="J299" t="str">
        <f>VLOOKUP(CHYBY!C:C,výpočty!$R$3:$S$7,2,FALSE)</f>
        <v>D</v>
      </c>
      <c r="K299">
        <f>VLOOKUP(D:D,výpočty!$W$3:$X$20,2,FALSE)</f>
        <v>10</v>
      </c>
      <c r="L299" t="str">
        <f t="shared" si="12"/>
        <v>HXD10</v>
      </c>
      <c r="M299" t="str">
        <f t="shared" si="13"/>
        <v/>
      </c>
      <c r="N299">
        <f t="shared" si="14"/>
        <v>0</v>
      </c>
    </row>
    <row r="300" spans="1:14" ht="13.8" x14ac:dyDescent="0.3">
      <c r="A300" s="255" t="str">
        <f>výpočty!$R$15</f>
        <v>Poziomy (z lewej strony na prawą)</v>
      </c>
      <c r="B300" s="256" t="str">
        <f>výpočty!$R$9</f>
        <v>Do tyłu</v>
      </c>
      <c r="C300" t="str">
        <f>výpočty!$R$6</f>
        <v>TOP - wpuszczany do przykręcenia metalowy z listwą maskującą</v>
      </c>
      <c r="D300" s="350" t="str">
        <f>výpočty!$W$14</f>
        <v>śnieżno biala mat (E9)</v>
      </c>
      <c r="E300" t="s">
        <v>2129</v>
      </c>
      <c r="F300">
        <v>0</v>
      </c>
      <c r="G300" t="s">
        <v>2139</v>
      </c>
      <c r="H300" t="str">
        <f>VLOOKUP(A:A,výpočty!$R$14:$S$15,2,FALSE)</f>
        <v>H</v>
      </c>
      <c r="I300" t="str">
        <f>VLOOKUP(B:B,výpočty!$R$9:$S$11,2,FALSE)</f>
        <v>X</v>
      </c>
      <c r="J300" t="str">
        <f>VLOOKUP(CHYBY!C:C,výpočty!$R$3:$S$7,2,FALSE)</f>
        <v>D</v>
      </c>
      <c r="K300">
        <f>VLOOKUP(D:D,výpočty!$W$3:$X$20,2,FALSE)</f>
        <v>12</v>
      </c>
      <c r="L300" t="str">
        <f t="shared" si="12"/>
        <v>HXD12</v>
      </c>
      <c r="M300" t="str">
        <f t="shared" si="13"/>
        <v/>
      </c>
      <c r="N300">
        <f t="shared" si="14"/>
        <v>0</v>
      </c>
    </row>
    <row r="301" spans="1:14" ht="13.8" x14ac:dyDescent="0.3">
      <c r="A301" s="255" t="str">
        <f>výpočty!$R$15</f>
        <v>Poziomy (z lewej strony na prawą)</v>
      </c>
      <c r="B301" s="256" t="str">
        <f>výpočty!$R$9</f>
        <v>Do tyłu</v>
      </c>
      <c r="C301" t="str">
        <f>výpočty!$R$6</f>
        <v>TOP - wpuszczany do przykręcenia metalowy z listwą maskującą</v>
      </c>
      <c r="D301" s="36" t="str">
        <f>výpočty!$W$15</f>
        <v>Aluminowa plastik (E4)</v>
      </c>
      <c r="E301" t="s">
        <v>2130</v>
      </c>
      <c r="F301">
        <v>1</v>
      </c>
      <c r="G301" s="321" t="str">
        <f>Překlady!$A$143</f>
        <v>Kolor aluminium plastik w profilu E4 jest idealny do poziomych rozwiązań w kombinacji z prowadzeniem Classic z systemem nawijania do tyłu</v>
      </c>
      <c r="H301" t="str">
        <f>VLOOKUP(A:A,výpočty!$R$14:$S$15,2,FALSE)</f>
        <v>H</v>
      </c>
      <c r="I301" t="str">
        <f>VLOOKUP(B:B,výpočty!$R$9:$S$11,2,FALSE)</f>
        <v>X</v>
      </c>
      <c r="J301" t="str">
        <f>VLOOKUP(CHYBY!C:C,výpočty!$R$3:$S$7,2,FALSE)</f>
        <v>D</v>
      </c>
      <c r="K301">
        <f>VLOOKUP(D:D,výpočty!$W$3:$X$20,2,FALSE)</f>
        <v>13</v>
      </c>
      <c r="L301" t="str">
        <f t="shared" si="12"/>
        <v>HXD13</v>
      </c>
      <c r="M301" t="str">
        <f t="shared" si="13"/>
        <v>Kolor aluminium plastik w profilu E4 jest idealny do poziomych rozwiązań w kombinacji z prowadzeniem Classic z systemem nawijania do tyłu</v>
      </c>
      <c r="N301">
        <f t="shared" si="14"/>
        <v>1</v>
      </c>
    </row>
    <row r="302" spans="1:14" ht="13.8" x14ac:dyDescent="0.3">
      <c r="A302" s="255" t="str">
        <f>výpočty!$R$15</f>
        <v>Poziomy (z lewej strony na prawą)</v>
      </c>
      <c r="B302" s="256" t="str">
        <f>výpočty!$R$9</f>
        <v>Do tyłu</v>
      </c>
      <c r="C302" t="str">
        <f>výpočty!$R$6</f>
        <v>TOP - wpuszczany do przykręcenia metalowy z listwą maskującą</v>
      </c>
      <c r="D302" s="36">
        <f>výpočty!$W$17</f>
        <v>0</v>
      </c>
      <c r="E302" t="s">
        <v>2129</v>
      </c>
      <c r="F302">
        <v>0</v>
      </c>
      <c r="G302" t="s">
        <v>2139</v>
      </c>
      <c r="H302" t="str">
        <f>VLOOKUP(A:A,výpočty!$R$14:$S$15,2,FALSE)</f>
        <v>H</v>
      </c>
      <c r="I302" t="str">
        <f>VLOOKUP(B:B,výpočty!$R$9:$S$11,2,FALSE)</f>
        <v>X</v>
      </c>
      <c r="J302" t="str">
        <f>VLOOKUP(CHYBY!C:C,výpočty!$R$3:$S$7,2,FALSE)</f>
        <v>D</v>
      </c>
      <c r="K302" t="e">
        <f>VLOOKUP(D:D,výpočty!$W$3:$X$20,2,FALSE)</f>
        <v>#N/A</v>
      </c>
      <c r="L302" t="e">
        <f t="shared" si="12"/>
        <v>#N/A</v>
      </c>
      <c r="M302" t="str">
        <f t="shared" si="13"/>
        <v/>
      </c>
      <c r="N302">
        <f t="shared" si="14"/>
        <v>0</v>
      </c>
    </row>
    <row r="303" spans="1:14" ht="13.8" x14ac:dyDescent="0.3">
      <c r="A303" s="255" t="str">
        <f>výpočty!$R$15</f>
        <v>Poziomy (z lewej strony na prawą)</v>
      </c>
      <c r="B303" s="256" t="str">
        <f>výpočty!$R$9</f>
        <v>Do tyłu</v>
      </c>
      <c r="C303" t="str">
        <f>výpočty!$R$6</f>
        <v>TOP - wpuszczany do przykręcenia metalowy z listwą maskującą</v>
      </c>
      <c r="D303" s="36">
        <f>výpočty!$W$18</f>
        <v>0</v>
      </c>
      <c r="E303" t="s">
        <v>2129</v>
      </c>
      <c r="F303">
        <v>0</v>
      </c>
      <c r="G303" t="s">
        <v>2139</v>
      </c>
      <c r="H303" t="str">
        <f>VLOOKUP(A:A,výpočty!$R$14:$S$15,2,FALSE)</f>
        <v>H</v>
      </c>
      <c r="I303" t="str">
        <f>VLOOKUP(B:B,výpočty!$R$9:$S$11,2,FALSE)</f>
        <v>X</v>
      </c>
      <c r="J303" t="str">
        <f>VLOOKUP(CHYBY!C:C,výpočty!$R$3:$S$7,2,FALSE)</f>
        <v>D</v>
      </c>
      <c r="K303" t="e">
        <f>VLOOKUP(D:D,výpočty!$W$3:$X$20,2,FALSE)</f>
        <v>#N/A</v>
      </c>
      <c r="L303" t="e">
        <f t="shared" si="12"/>
        <v>#N/A</v>
      </c>
      <c r="M303" t="str">
        <f t="shared" si="13"/>
        <v/>
      </c>
      <c r="N303">
        <f t="shared" si="14"/>
        <v>0</v>
      </c>
    </row>
    <row r="304" spans="1:14" ht="13.8" x14ac:dyDescent="0.3">
      <c r="A304" s="255" t="str">
        <f>výpočty!$R$15</f>
        <v>Poziomy (z lewej strony na prawą)</v>
      </c>
      <c r="B304" s="256" t="str">
        <f>výpočty!$R$9</f>
        <v>Do tyłu</v>
      </c>
      <c r="C304" t="str">
        <f>výpočty!$R$6</f>
        <v>TOP - wpuszczany do przykręcenia metalowy z listwą maskującą</v>
      </c>
      <c r="D304" s="36" t="str">
        <f>výpočty!$W$19</f>
        <v>Aluminium szerokość 25 mm (metallic-line)</v>
      </c>
      <c r="E304" t="s">
        <v>2129</v>
      </c>
      <c r="F304">
        <v>0</v>
      </c>
      <c r="G304" t="s">
        <v>2139</v>
      </c>
      <c r="H304" t="str">
        <f>VLOOKUP(A:A,výpočty!$R$14:$S$15,2,FALSE)</f>
        <v>H</v>
      </c>
      <c r="I304" t="str">
        <f>VLOOKUP(B:B,výpočty!$R$9:$S$11,2,FALSE)</f>
        <v>X</v>
      </c>
      <c r="J304" t="str">
        <f>VLOOKUP(CHYBY!C:C,výpočty!$R$3:$S$7,2,FALSE)</f>
        <v>D</v>
      </c>
      <c r="K304">
        <f>VLOOKUP(D:D,výpočty!$W$3:$X$20,2,FALSE)</f>
        <v>17</v>
      </c>
      <c r="L304" t="str">
        <f t="shared" si="12"/>
        <v>HXD17</v>
      </c>
      <c r="M304" t="str">
        <f t="shared" si="13"/>
        <v/>
      </c>
      <c r="N304">
        <f t="shared" si="14"/>
        <v>0</v>
      </c>
    </row>
    <row r="305" spans="1:14" ht="14.4" thickBot="1" x14ac:dyDescent="0.35">
      <c r="A305" s="255" t="str">
        <f>výpočty!$R$15</f>
        <v>Poziomy (z lewej strony na prawą)</v>
      </c>
      <c r="B305" s="256" t="str">
        <f>výpočty!$R$9</f>
        <v>Do tyłu</v>
      </c>
      <c r="C305" t="str">
        <f>výpočty!$R$6</f>
        <v>TOP - wpuszczany do przykręcenia metalowy z listwą maskującą</v>
      </c>
      <c r="D305" s="27" t="str">
        <f>výpočty!$W$20</f>
        <v>Nierdz. szerokość 25 mm (metallic-line)</v>
      </c>
      <c r="E305" t="s">
        <v>2129</v>
      </c>
      <c r="F305">
        <v>0</v>
      </c>
      <c r="G305" t="s">
        <v>2139</v>
      </c>
      <c r="H305" t="str">
        <f>VLOOKUP(A:A,výpočty!$R$14:$S$15,2,FALSE)</f>
        <v>H</v>
      </c>
      <c r="I305" t="str">
        <f>VLOOKUP(B:B,výpočty!$R$9:$S$11,2,FALSE)</f>
        <v>X</v>
      </c>
      <c r="J305" t="str">
        <f>VLOOKUP(CHYBY!C:C,výpočty!$R$3:$S$7,2,FALSE)</f>
        <v>D</v>
      </c>
      <c r="K305">
        <f>VLOOKUP(D:D,výpočty!$W$3:$X$20,2,FALSE)</f>
        <v>18</v>
      </c>
      <c r="L305" t="str">
        <f t="shared" si="12"/>
        <v>HXD18</v>
      </c>
      <c r="M305" t="str">
        <f t="shared" si="13"/>
        <v/>
      </c>
      <c r="N305">
        <f t="shared" si="14"/>
        <v>0</v>
      </c>
    </row>
    <row r="306" spans="1:14" ht="13.8" x14ac:dyDescent="0.3">
      <c r="A306" s="255" t="str">
        <f>výpočty!$R$15</f>
        <v>Poziomy (z lewej strony na prawą)</v>
      </c>
      <c r="B306" s="256" t="str">
        <f>výpočty!$R$9</f>
        <v>Do tyłu</v>
      </c>
      <c r="C306" t="str">
        <f>výpočty!$R$7</f>
        <v>Nakładany z prowadzeniem metalic-line 29 mm i mechanimem C3</v>
      </c>
      <c r="D306" s="26" t="str">
        <f>výpočty!$W$3</f>
        <v>Czarny (E23)</v>
      </c>
      <c r="E306" t="s">
        <v>2130</v>
      </c>
      <c r="F306">
        <v>1</v>
      </c>
      <c r="G306" s="321" t="str">
        <f>Překlady!$A$153</f>
        <v>U systemu nawijania do tyłu i do ślimaka roletowego nie da się zastosować nakładanego systemu prowadzenia 29 mm i mechanizmu C3. Należy wybrać wersję FRAME.</v>
      </c>
      <c r="H306" t="str">
        <f>VLOOKUP(A:A,výpočty!$R$14:$S$15,2,FALSE)</f>
        <v>H</v>
      </c>
      <c r="I306" t="str">
        <f>VLOOKUP(B:B,výpočty!$R$9:$S$11,2,FALSE)</f>
        <v>X</v>
      </c>
      <c r="J306" t="str">
        <f>VLOOKUP(CHYBY!C:C,výpočty!$R$3:$S$7,2,FALSE)</f>
        <v>E</v>
      </c>
      <c r="K306">
        <f>VLOOKUP(D:D,výpočty!$W$3:$X$20,2,FALSE)</f>
        <v>1</v>
      </c>
      <c r="L306" t="str">
        <f t="shared" si="12"/>
        <v>HXE1</v>
      </c>
      <c r="M306" t="str">
        <f t="shared" si="13"/>
        <v>U systemu nawijania do tyłu i do ślimaka roletowego nie da się zastosować nakładanego systemu prowadzenia 29 mm i mechanizmu C3. Należy wybrać wersję FRAME.</v>
      </c>
      <c r="N306">
        <f t="shared" si="14"/>
        <v>1</v>
      </c>
    </row>
    <row r="307" spans="1:14" ht="13.8" x14ac:dyDescent="0.3">
      <c r="A307" s="255" t="str">
        <f>výpočty!$R$15</f>
        <v>Poziomy (z lewej strony na prawą)</v>
      </c>
      <c r="B307" s="256" t="str">
        <f>výpočty!$R$9</f>
        <v>Do tyłu</v>
      </c>
      <c r="C307" t="str">
        <f>výpočty!$R$7</f>
        <v>Nakładany z prowadzeniem metalic-line 29 mm i mechanimem C3</v>
      </c>
      <c r="D307" s="36" t="str">
        <f>výpočty!$W$4</f>
        <v>Biały (E23)</v>
      </c>
      <c r="E307" t="s">
        <v>2130</v>
      </c>
      <c r="F307">
        <v>1</v>
      </c>
      <c r="G307" s="321" t="str">
        <f>Překlady!$A$153</f>
        <v>U systemu nawijania do tyłu i do ślimaka roletowego nie da się zastosować nakładanego systemu prowadzenia 29 mm i mechanizmu C3. Należy wybrać wersję FRAME.</v>
      </c>
      <c r="H307" t="str">
        <f>VLOOKUP(A:A,výpočty!$R$14:$S$15,2,FALSE)</f>
        <v>H</v>
      </c>
      <c r="I307" t="str">
        <f>VLOOKUP(B:B,výpočty!$R$9:$S$11,2,FALSE)</f>
        <v>X</v>
      </c>
      <c r="J307" t="str">
        <f>VLOOKUP(CHYBY!C:C,výpočty!$R$3:$S$7,2,FALSE)</f>
        <v>E</v>
      </c>
      <c r="K307">
        <f>VLOOKUP(D:D,výpočty!$W$3:$X$20,2,FALSE)</f>
        <v>2</v>
      </c>
      <c r="L307" t="str">
        <f t="shared" si="12"/>
        <v>HXE2</v>
      </c>
      <c r="M307" t="str">
        <f t="shared" si="13"/>
        <v>U systemu nawijania do tyłu i do ślimaka roletowego nie da się zastosować nakładanego systemu prowadzenia 29 mm i mechanizmu C3. Należy wybrać wersję FRAME.</v>
      </c>
      <c r="N307">
        <f t="shared" si="14"/>
        <v>1</v>
      </c>
    </row>
    <row r="308" spans="1:14" ht="13.8" x14ac:dyDescent="0.3">
      <c r="A308" s="255" t="str">
        <f>výpočty!$R$15</f>
        <v>Poziomy (z lewej strony na prawą)</v>
      </c>
      <c r="B308" s="256" t="str">
        <f>výpočty!$R$9</f>
        <v>Do tyłu</v>
      </c>
      <c r="C308" t="str">
        <f>výpočty!$R$7</f>
        <v>Nakładany z prowadzeniem metalic-line 29 mm i mechanimem C3</v>
      </c>
      <c r="D308" s="36" t="str">
        <f>výpočty!$W$5</f>
        <v>Szary (E23)</v>
      </c>
      <c r="E308" t="s">
        <v>2130</v>
      </c>
      <c r="F308">
        <v>1</v>
      </c>
      <c r="G308" s="321" t="str">
        <f>Překlady!$A$153</f>
        <v>U systemu nawijania do tyłu i do ślimaka roletowego nie da się zastosować nakładanego systemu prowadzenia 29 mm i mechanizmu C3. Należy wybrać wersję FRAME.</v>
      </c>
      <c r="H308" t="str">
        <f>VLOOKUP(A:A,výpočty!$R$14:$S$15,2,FALSE)</f>
        <v>H</v>
      </c>
      <c r="I308" t="str">
        <f>VLOOKUP(B:B,výpočty!$R$9:$S$11,2,FALSE)</f>
        <v>X</v>
      </c>
      <c r="J308" t="str">
        <f>VLOOKUP(CHYBY!C:C,výpočty!$R$3:$S$7,2,FALSE)</f>
        <v>E</v>
      </c>
      <c r="K308">
        <f>VLOOKUP(D:D,výpočty!$W$3:$X$20,2,FALSE)</f>
        <v>3</v>
      </c>
      <c r="L308" t="str">
        <f t="shared" si="12"/>
        <v>HXE3</v>
      </c>
      <c r="M308" t="str">
        <f t="shared" si="13"/>
        <v>U systemu nawijania do tyłu i do ślimaka roletowego nie da się zastosować nakładanego systemu prowadzenia 29 mm i mechanizmu C3. Należy wybrać wersję FRAME.</v>
      </c>
      <c r="N308">
        <f t="shared" si="14"/>
        <v>1</v>
      </c>
    </row>
    <row r="309" spans="1:14" ht="13.8" x14ac:dyDescent="0.3">
      <c r="A309" s="255" t="str">
        <f>výpočty!$R$15</f>
        <v>Poziomy (z lewej strony na prawą)</v>
      </c>
      <c r="B309" s="256" t="str">
        <f>výpočty!$R$9</f>
        <v>Do tyłu</v>
      </c>
      <c r="C309" t="str">
        <f>výpočty!$R$7</f>
        <v>Nakładany z prowadzeniem metalic-line 29 mm i mechanimem C3</v>
      </c>
      <c r="D309" s="36" t="str">
        <f>výpočty!$W$6</f>
        <v>Aluminowa plastik (E23)</v>
      </c>
      <c r="E309" t="s">
        <v>2130</v>
      </c>
      <c r="F309">
        <v>1</v>
      </c>
      <c r="G309" s="321" t="str">
        <f>Překlady!$A$153</f>
        <v>U systemu nawijania do tyłu i do ślimaka roletowego nie da się zastosować nakładanego systemu prowadzenia 29 mm i mechanizmu C3. Należy wybrać wersję FRAME.</v>
      </c>
      <c r="H309" t="str">
        <f>VLOOKUP(A:A,výpočty!$R$14:$S$15,2,FALSE)</f>
        <v>H</v>
      </c>
      <c r="I309" t="str">
        <f>VLOOKUP(B:B,výpočty!$R$9:$S$11,2,FALSE)</f>
        <v>X</v>
      </c>
      <c r="J309" t="str">
        <f>VLOOKUP(CHYBY!C:C,výpočty!$R$3:$S$7,2,FALSE)</f>
        <v>E</v>
      </c>
      <c r="K309">
        <f>VLOOKUP(D:D,výpočty!$W$3:$X$20,2,FALSE)</f>
        <v>4</v>
      </c>
      <c r="L309" t="str">
        <f t="shared" si="12"/>
        <v>HXE4</v>
      </c>
      <c r="M309" t="str">
        <f t="shared" si="13"/>
        <v>U systemu nawijania do tyłu i do ślimaka roletowego nie da się zastosować nakładanego systemu prowadzenia 29 mm i mechanizmu C3. Należy wybrać wersję FRAME.</v>
      </c>
      <c r="N309">
        <f t="shared" si="14"/>
        <v>1</v>
      </c>
    </row>
    <row r="310" spans="1:14" ht="13.8" x14ac:dyDescent="0.3">
      <c r="A310" s="255" t="str">
        <f>výpočty!$R$15</f>
        <v>Poziomy (z lewej strony na prawą)</v>
      </c>
      <c r="B310" s="256" t="str">
        <f>výpočty!$R$9</f>
        <v>Do tyłu</v>
      </c>
      <c r="C310" t="str">
        <f>výpočty!$R$7</f>
        <v>Nakładany z prowadzeniem metalic-line 29 mm i mechanimem C3</v>
      </c>
      <c r="D310" s="36" t="str">
        <f>výpočty!$W$7</f>
        <v>Buk (E23)</v>
      </c>
      <c r="E310" t="s">
        <v>2130</v>
      </c>
      <c r="F310">
        <v>1</v>
      </c>
      <c r="G310" s="321" t="str">
        <f>Překlady!$A$153</f>
        <v>U systemu nawijania do tyłu i do ślimaka roletowego nie da się zastosować nakładanego systemu prowadzenia 29 mm i mechanizmu C3. Należy wybrać wersję FRAME.</v>
      </c>
      <c r="H310" t="str">
        <f>VLOOKUP(A:A,výpočty!$R$14:$S$15,2,FALSE)</f>
        <v>H</v>
      </c>
      <c r="I310" t="str">
        <f>VLOOKUP(B:B,výpočty!$R$9:$S$11,2,FALSE)</f>
        <v>X</v>
      </c>
      <c r="J310" t="str">
        <f>VLOOKUP(CHYBY!C:C,výpočty!$R$3:$S$7,2,FALSE)</f>
        <v>E</v>
      </c>
      <c r="K310">
        <f>VLOOKUP(D:D,výpočty!$W$3:$X$20,2,FALSE)</f>
        <v>5</v>
      </c>
      <c r="L310" t="str">
        <f t="shared" si="12"/>
        <v>HXE5</v>
      </c>
      <c r="M310" t="str">
        <f t="shared" si="13"/>
        <v>U systemu nawijania do tyłu i do ślimaka roletowego nie da się zastosować nakładanego systemu prowadzenia 29 mm i mechanizmu C3. Należy wybrać wersję FRAME.</v>
      </c>
      <c r="N310">
        <f t="shared" si="14"/>
        <v>1</v>
      </c>
    </row>
    <row r="311" spans="1:14" ht="13.8" x14ac:dyDescent="0.3">
      <c r="A311" s="255" t="str">
        <f>výpočty!$R$15</f>
        <v>Poziomy (z lewej strony na prawą)</v>
      </c>
      <c r="B311" s="256" t="str">
        <f>výpočty!$R$9</f>
        <v>Do tyłu</v>
      </c>
      <c r="C311" t="str">
        <f>výpočty!$R$7</f>
        <v>Nakładany z prowadzeniem metalic-line 29 mm i mechanimem C3</v>
      </c>
      <c r="D311" s="36" t="str">
        <f>výpočty!$W$8</f>
        <v>Czereśnia (E23)</v>
      </c>
      <c r="E311" t="s">
        <v>2130</v>
      </c>
      <c r="F311">
        <v>1</v>
      </c>
      <c r="G311" s="321" t="str">
        <f>Překlady!$A$153</f>
        <v>U systemu nawijania do tyłu i do ślimaka roletowego nie da się zastosować nakładanego systemu prowadzenia 29 mm i mechanizmu C3. Należy wybrać wersję FRAME.</v>
      </c>
      <c r="H311" t="str">
        <f>VLOOKUP(A:A,výpočty!$R$14:$S$15,2,FALSE)</f>
        <v>H</v>
      </c>
      <c r="I311" t="str">
        <f>VLOOKUP(B:B,výpočty!$R$9:$S$11,2,FALSE)</f>
        <v>X</v>
      </c>
      <c r="J311" t="str">
        <f>VLOOKUP(CHYBY!C:C,výpočty!$R$3:$S$7,2,FALSE)</f>
        <v>E</v>
      </c>
      <c r="K311">
        <f>VLOOKUP(D:D,výpočty!$W$3:$X$20,2,FALSE)</f>
        <v>6</v>
      </c>
      <c r="L311" t="str">
        <f t="shared" si="12"/>
        <v>HXE6</v>
      </c>
      <c r="M311" t="str">
        <f t="shared" si="13"/>
        <v>U systemu nawijania do tyłu i do ślimaka roletowego nie da się zastosować nakładanego systemu prowadzenia 29 mm i mechanizmu C3. Należy wybrać wersję FRAME.</v>
      </c>
      <c r="N311">
        <f t="shared" si="14"/>
        <v>1</v>
      </c>
    </row>
    <row r="312" spans="1:14" ht="13.8" x14ac:dyDescent="0.3">
      <c r="A312" s="255" t="str">
        <f>výpočty!$R$15</f>
        <v>Poziomy (z lewej strony na prawą)</v>
      </c>
      <c r="B312" s="256" t="str">
        <f>výpočty!$R$9</f>
        <v>Do tyłu</v>
      </c>
      <c r="C312" t="str">
        <f>výpočty!$R$7</f>
        <v>Nakładany z prowadzeniem metalic-line 29 mm i mechanimem C3</v>
      </c>
      <c r="D312" s="36" t="str">
        <f>výpočty!$W$9</f>
        <v>Klon (E23)</v>
      </c>
      <c r="E312" t="s">
        <v>2130</v>
      </c>
      <c r="F312">
        <v>1</v>
      </c>
      <c r="G312" s="321" t="str">
        <f>Překlady!$A$153</f>
        <v>U systemu nawijania do tyłu i do ślimaka roletowego nie da się zastosować nakładanego systemu prowadzenia 29 mm i mechanizmu C3. Należy wybrać wersję FRAME.</v>
      </c>
      <c r="H312" t="str">
        <f>VLOOKUP(A:A,výpočty!$R$14:$S$15,2,FALSE)</f>
        <v>H</v>
      </c>
      <c r="I312" t="str">
        <f>VLOOKUP(B:B,výpočty!$R$9:$S$11,2,FALSE)</f>
        <v>X</v>
      </c>
      <c r="J312" t="str">
        <f>VLOOKUP(CHYBY!C:C,výpočty!$R$3:$S$7,2,FALSE)</f>
        <v>E</v>
      </c>
      <c r="K312">
        <f>VLOOKUP(D:D,výpočty!$W$3:$X$20,2,FALSE)</f>
        <v>7</v>
      </c>
      <c r="L312" t="str">
        <f t="shared" si="12"/>
        <v>HXE7</v>
      </c>
      <c r="M312" t="str">
        <f t="shared" si="13"/>
        <v>U systemu nawijania do tyłu i do ślimaka roletowego nie da się zastosować nakładanego systemu prowadzenia 29 mm i mechanizmu C3. Należy wybrać wersję FRAME.</v>
      </c>
      <c r="N312">
        <f t="shared" si="14"/>
        <v>1</v>
      </c>
    </row>
    <row r="313" spans="1:14" ht="13.8" x14ac:dyDescent="0.3">
      <c r="A313" s="255" t="str">
        <f>výpočty!$R$15</f>
        <v>Poziomy (z lewej strony na prawą)</v>
      </c>
      <c r="B313" s="256" t="str">
        <f>výpočty!$R$9</f>
        <v>Do tyłu</v>
      </c>
      <c r="C313" t="str">
        <f>výpočty!$R$7</f>
        <v>Nakładany z prowadzeniem metalic-line 29 mm i mechanimem C3</v>
      </c>
      <c r="D313" s="36" t="str">
        <f>výpočty!$W$10</f>
        <v>Brzoza (E23)</v>
      </c>
      <c r="E313" t="s">
        <v>2130</v>
      </c>
      <c r="F313">
        <v>1</v>
      </c>
      <c r="G313" s="321" t="str">
        <f>Překlady!$A$153</f>
        <v>U systemu nawijania do tyłu i do ślimaka roletowego nie da się zastosować nakładanego systemu prowadzenia 29 mm i mechanizmu C3. Należy wybrać wersję FRAME.</v>
      </c>
      <c r="H313" t="str">
        <f>VLOOKUP(A:A,výpočty!$R$14:$S$15,2,FALSE)</f>
        <v>H</v>
      </c>
      <c r="I313" t="str">
        <f>VLOOKUP(B:B,výpočty!$R$9:$S$11,2,FALSE)</f>
        <v>X</v>
      </c>
      <c r="J313" t="str">
        <f>VLOOKUP(CHYBY!C:C,výpočty!$R$3:$S$7,2,FALSE)</f>
        <v>E</v>
      </c>
      <c r="K313">
        <f>VLOOKUP(D:D,výpočty!$W$3:$X$20,2,FALSE)</f>
        <v>8</v>
      </c>
      <c r="L313" t="str">
        <f t="shared" si="12"/>
        <v>HXE8</v>
      </c>
      <c r="M313" t="str">
        <f t="shared" si="13"/>
        <v>U systemu nawijania do tyłu i do ślimaka roletowego nie da się zastosować nakładanego systemu prowadzenia 29 mm i mechanizmu C3. Należy wybrać wersję FRAME.</v>
      </c>
      <c r="N313">
        <f t="shared" si="14"/>
        <v>1</v>
      </c>
    </row>
    <row r="314" spans="1:14" ht="13.8" x14ac:dyDescent="0.3">
      <c r="A314" s="255" t="str">
        <f>výpočty!$R$15</f>
        <v>Poziomy (z lewej strony na prawą)</v>
      </c>
      <c r="B314" s="256" t="str">
        <f>výpočty!$R$9</f>
        <v>Do tyłu</v>
      </c>
      <c r="C314" t="str">
        <f>výpočty!$R$7</f>
        <v>Nakładany z prowadzeniem metalic-line 29 mm i mechanimem C3</v>
      </c>
      <c r="D314" s="36" t="str">
        <f>výpočty!$W$11</f>
        <v>Czereśnia havana (E23)</v>
      </c>
      <c r="E314" t="s">
        <v>2130</v>
      </c>
      <c r="F314">
        <v>1</v>
      </c>
      <c r="G314" s="321" t="str">
        <f>Překlady!$A$153</f>
        <v>U systemu nawijania do tyłu i do ślimaka roletowego nie da się zastosować nakładanego systemu prowadzenia 29 mm i mechanizmu C3. Należy wybrać wersję FRAME.</v>
      </c>
      <c r="H314" t="str">
        <f>VLOOKUP(A:A,výpočty!$R$14:$S$15,2,FALSE)</f>
        <v>H</v>
      </c>
      <c r="I314" t="str">
        <f>VLOOKUP(B:B,výpočty!$R$9:$S$11,2,FALSE)</f>
        <v>X</v>
      </c>
      <c r="J314" t="str">
        <f>VLOOKUP(CHYBY!C:C,výpočty!$R$3:$S$7,2,FALSE)</f>
        <v>E</v>
      </c>
      <c r="K314">
        <f>VLOOKUP(D:D,výpočty!$W$3:$X$20,2,FALSE)</f>
        <v>9</v>
      </c>
      <c r="L314" t="str">
        <f t="shared" si="12"/>
        <v>HXE9</v>
      </c>
      <c r="M314" t="str">
        <f t="shared" si="13"/>
        <v>U systemu nawijania do tyłu i do ślimaka roletowego nie da się zastosować nakładanego systemu prowadzenia 29 mm i mechanizmu C3. Należy wybrać wersję FRAME.</v>
      </c>
      <c r="N314">
        <f t="shared" si="14"/>
        <v>1</v>
      </c>
    </row>
    <row r="315" spans="1:14" ht="13.8" x14ac:dyDescent="0.3">
      <c r="A315" s="255" t="str">
        <f>výpočty!$R$15</f>
        <v>Poziomy (z lewej strony na prawą)</v>
      </c>
      <c r="B315" s="256" t="str">
        <f>výpočty!$R$9</f>
        <v>Do tyłu</v>
      </c>
      <c r="C315" t="str">
        <f>výpočty!$R$7</f>
        <v>Nakładany z prowadzeniem metalic-line 29 mm i mechanimem C3</v>
      </c>
      <c r="D315" s="36" t="str">
        <f>výpočty!$W$12</f>
        <v>Calvados (E23)</v>
      </c>
      <c r="E315" t="s">
        <v>2130</v>
      </c>
      <c r="F315">
        <v>1</v>
      </c>
      <c r="G315" s="321" t="str">
        <f>Překlady!$A$153</f>
        <v>U systemu nawijania do tyłu i do ślimaka roletowego nie da się zastosować nakładanego systemu prowadzenia 29 mm i mechanizmu C3. Należy wybrać wersję FRAME.</v>
      </c>
      <c r="H315" t="str">
        <f>VLOOKUP(A:A,výpočty!$R$14:$S$15,2,FALSE)</f>
        <v>H</v>
      </c>
      <c r="I315" t="str">
        <f>VLOOKUP(B:B,výpočty!$R$9:$S$11,2,FALSE)</f>
        <v>X</v>
      </c>
      <c r="J315" t="str">
        <f>VLOOKUP(CHYBY!C:C,výpočty!$R$3:$S$7,2,FALSE)</f>
        <v>E</v>
      </c>
      <c r="K315">
        <f>VLOOKUP(D:D,výpočty!$W$3:$X$20,2,FALSE)</f>
        <v>10</v>
      </c>
      <c r="L315" t="str">
        <f t="shared" si="12"/>
        <v>HXE10</v>
      </c>
      <c r="M315" t="str">
        <f t="shared" si="13"/>
        <v>U systemu nawijania do tyłu i do ślimaka roletowego nie da się zastosować nakładanego systemu prowadzenia 29 mm i mechanizmu C3. Należy wybrać wersję FRAME.</v>
      </c>
      <c r="N315">
        <f t="shared" si="14"/>
        <v>1</v>
      </c>
    </row>
    <row r="316" spans="1:14" ht="13.8" x14ac:dyDescent="0.3">
      <c r="A316" s="255" t="str">
        <f>výpočty!$R$15</f>
        <v>Poziomy (z lewej strony na prawą)</v>
      </c>
      <c r="B316" s="256" t="str">
        <f>výpočty!$R$9</f>
        <v>Do tyłu</v>
      </c>
      <c r="C316" t="str">
        <f>výpočty!$R$7</f>
        <v>Nakładany z prowadzeniem metalic-line 29 mm i mechanimem C3</v>
      </c>
      <c r="D316" s="36" t="str">
        <f>výpočty!$W$14</f>
        <v>śnieżno biala mat (E9)</v>
      </c>
      <c r="E316" t="s">
        <v>2130</v>
      </c>
      <c r="F316">
        <v>1</v>
      </c>
      <c r="G316" s="321" t="str">
        <f>Překlady!$A$142</f>
        <v>Kolor śnieżno biały w profilu E9 można łączyć jedynie z prowadzeniem Classic i systemem nawijania do tyłu</v>
      </c>
      <c r="H316" t="str">
        <f>VLOOKUP(A:A,výpočty!$R$14:$S$15,2,FALSE)</f>
        <v>H</v>
      </c>
      <c r="I316" t="str">
        <f>VLOOKUP(B:B,výpočty!$R$9:$S$11,2,FALSE)</f>
        <v>X</v>
      </c>
      <c r="J316" t="str">
        <f>VLOOKUP(CHYBY!C:C,výpočty!$R$3:$S$7,2,FALSE)</f>
        <v>E</v>
      </c>
      <c r="K316">
        <f>VLOOKUP(D:D,výpočty!$W$3:$X$20,2,FALSE)</f>
        <v>12</v>
      </c>
      <c r="L316" t="str">
        <f t="shared" si="12"/>
        <v>HXE12</v>
      </c>
      <c r="M316" t="str">
        <f t="shared" si="13"/>
        <v>Kolor śnieżno biały w profilu E9 można łączyć jedynie z prowadzeniem Classic i systemem nawijania do tyłu</v>
      </c>
      <c r="N316">
        <f t="shared" si="14"/>
        <v>1</v>
      </c>
    </row>
    <row r="317" spans="1:14" ht="13.8" x14ac:dyDescent="0.3">
      <c r="A317" s="255" t="str">
        <f>výpočty!$R$15</f>
        <v>Poziomy (z lewej strony na prawą)</v>
      </c>
      <c r="B317" s="256" t="str">
        <f>výpočty!$R$9</f>
        <v>Do tyłu</v>
      </c>
      <c r="C317" t="str">
        <f>výpočty!$R$7</f>
        <v>Nakładany z prowadzeniem metalic-line 29 mm i mechanimem C3</v>
      </c>
      <c r="D317" s="36" t="str">
        <f>výpočty!$W$15</f>
        <v>Aluminowa plastik (E4)</v>
      </c>
      <c r="E317" t="s">
        <v>2130</v>
      </c>
      <c r="F317">
        <v>1</v>
      </c>
      <c r="G317" s="321" t="str">
        <f>Překlady!$A$143</f>
        <v>Kolor aluminium plastik w profilu E4 jest idealny do poziomych rozwiązań w kombinacji z prowadzeniem Classic z systemem nawijania do tyłu</v>
      </c>
      <c r="H317" t="str">
        <f>VLOOKUP(A:A,výpočty!$R$14:$S$15,2,FALSE)</f>
        <v>H</v>
      </c>
      <c r="I317" t="str">
        <f>VLOOKUP(B:B,výpočty!$R$9:$S$11,2,FALSE)</f>
        <v>X</v>
      </c>
      <c r="J317" t="str">
        <f>VLOOKUP(CHYBY!C:C,výpočty!$R$3:$S$7,2,FALSE)</f>
        <v>E</v>
      </c>
      <c r="K317">
        <f>VLOOKUP(D:D,výpočty!$W$3:$X$20,2,FALSE)</f>
        <v>13</v>
      </c>
      <c r="L317" t="str">
        <f t="shared" si="12"/>
        <v>HXE13</v>
      </c>
      <c r="M317" t="str">
        <f t="shared" si="13"/>
        <v>Kolor aluminium plastik w profilu E4 jest idealny do poziomych rozwiązań w kombinacji z prowadzeniem Classic z systemem nawijania do tyłu</v>
      </c>
      <c r="N317">
        <f t="shared" si="14"/>
        <v>1</v>
      </c>
    </row>
    <row r="318" spans="1:14" ht="13.8" x14ac:dyDescent="0.3">
      <c r="A318" s="255" t="str">
        <f>výpočty!$R$15</f>
        <v>Poziomy (z lewej strony na prawą)</v>
      </c>
      <c r="B318" s="256" t="str">
        <f>výpočty!$R$9</f>
        <v>Do tyłu</v>
      </c>
      <c r="C318" t="str">
        <f>výpočty!$R$7</f>
        <v>Nakładany z prowadzeniem metalic-line 29 mm i mechanimem C3</v>
      </c>
      <c r="D318" s="36">
        <f>výpočty!$W$17</f>
        <v>0</v>
      </c>
      <c r="E318" t="s">
        <v>2130</v>
      </c>
      <c r="F318">
        <v>1</v>
      </c>
      <c r="G318" s="321" t="str">
        <f>Překlady!$A$153</f>
        <v>U systemu nawijania do tyłu i do ślimaka roletowego nie da się zastosować nakładanego systemu prowadzenia 29 mm i mechanizmu C3. Należy wybrać wersję FRAME.</v>
      </c>
      <c r="H318" t="str">
        <f>VLOOKUP(A:A,výpočty!$R$14:$S$15,2,FALSE)</f>
        <v>H</v>
      </c>
      <c r="I318" t="str">
        <f>VLOOKUP(B:B,výpočty!$R$9:$S$11,2,FALSE)</f>
        <v>X</v>
      </c>
      <c r="J318" t="str">
        <f>VLOOKUP(CHYBY!C:C,výpočty!$R$3:$S$7,2,FALSE)</f>
        <v>E</v>
      </c>
      <c r="K318" t="e">
        <f>VLOOKUP(D:D,výpočty!$W$3:$X$20,2,FALSE)</f>
        <v>#N/A</v>
      </c>
      <c r="L318" t="e">
        <f t="shared" si="12"/>
        <v>#N/A</v>
      </c>
      <c r="M318" t="str">
        <f t="shared" si="13"/>
        <v>U systemu nawijania do tyłu i do ślimaka roletowego nie da się zastosować nakładanego systemu prowadzenia 29 mm i mechanizmu C3. Należy wybrać wersję FRAME.</v>
      </c>
      <c r="N318">
        <f t="shared" si="14"/>
        <v>1</v>
      </c>
    </row>
    <row r="319" spans="1:14" ht="13.8" x14ac:dyDescent="0.3">
      <c r="A319" s="255" t="str">
        <f>výpočty!$R$15</f>
        <v>Poziomy (z lewej strony na prawą)</v>
      </c>
      <c r="B319" s="256" t="str">
        <f>výpočty!$R$9</f>
        <v>Do tyłu</v>
      </c>
      <c r="C319" t="str">
        <f>výpočty!$R$7</f>
        <v>Nakładany z prowadzeniem metalic-line 29 mm i mechanimem C3</v>
      </c>
      <c r="D319" s="36">
        <f>výpočty!$W$18</f>
        <v>0</v>
      </c>
      <c r="E319" t="s">
        <v>2130</v>
      </c>
      <c r="F319">
        <v>1</v>
      </c>
      <c r="G319" s="321" t="str">
        <f>Překlady!$A$153</f>
        <v>U systemu nawijania do tyłu i do ślimaka roletowego nie da się zastosować nakładanego systemu prowadzenia 29 mm i mechanizmu C3. Należy wybrać wersję FRAME.</v>
      </c>
      <c r="H319" t="str">
        <f>VLOOKUP(A:A,výpočty!$R$14:$S$15,2,FALSE)</f>
        <v>H</v>
      </c>
      <c r="I319" t="str">
        <f>VLOOKUP(B:B,výpočty!$R$9:$S$11,2,FALSE)</f>
        <v>X</v>
      </c>
      <c r="J319" t="str">
        <f>VLOOKUP(CHYBY!C:C,výpočty!$R$3:$S$7,2,FALSE)</f>
        <v>E</v>
      </c>
      <c r="K319" t="e">
        <f>VLOOKUP(D:D,výpočty!$W$3:$X$20,2,FALSE)</f>
        <v>#N/A</v>
      </c>
      <c r="L319" t="e">
        <f t="shared" si="12"/>
        <v>#N/A</v>
      </c>
      <c r="M319" t="str">
        <f t="shared" si="13"/>
        <v>U systemu nawijania do tyłu i do ślimaka roletowego nie da się zastosować nakładanego systemu prowadzenia 29 mm i mechanizmu C3. Należy wybrać wersję FRAME.</v>
      </c>
      <c r="N319">
        <f t="shared" si="14"/>
        <v>1</v>
      </c>
    </row>
    <row r="320" spans="1:14" ht="13.8" x14ac:dyDescent="0.3">
      <c r="A320" s="255" t="str">
        <f>výpočty!$R$15</f>
        <v>Poziomy (z lewej strony na prawą)</v>
      </c>
      <c r="B320" s="256" t="str">
        <f>výpočty!$R$9</f>
        <v>Do tyłu</v>
      </c>
      <c r="C320" t="str">
        <f>výpočty!$R$7</f>
        <v>Nakładany z prowadzeniem metalic-line 29 mm i mechanimem C3</v>
      </c>
      <c r="D320" s="36" t="str">
        <f>výpočty!$W$19</f>
        <v>Aluminium szerokość 25 mm (metallic-line)</v>
      </c>
      <c r="E320" t="s">
        <v>2130</v>
      </c>
      <c r="F320">
        <v>1</v>
      </c>
      <c r="G320" s="321" t="str">
        <f>Překlady!$A$153</f>
        <v>U systemu nawijania do tyłu i do ślimaka roletowego nie da się zastosować nakładanego systemu prowadzenia 29 mm i mechanizmu C3. Należy wybrać wersję FRAME.</v>
      </c>
      <c r="H320" t="str">
        <f>VLOOKUP(A:A,výpočty!$R$14:$S$15,2,FALSE)</f>
        <v>H</v>
      </c>
      <c r="I320" t="str">
        <f>VLOOKUP(B:B,výpočty!$R$9:$S$11,2,FALSE)</f>
        <v>X</v>
      </c>
      <c r="J320" t="str">
        <f>VLOOKUP(CHYBY!C:C,výpočty!$R$3:$S$7,2,FALSE)</f>
        <v>E</v>
      </c>
      <c r="K320">
        <f>VLOOKUP(D:D,výpočty!$W$3:$X$20,2,FALSE)</f>
        <v>17</v>
      </c>
      <c r="L320" t="str">
        <f t="shared" si="12"/>
        <v>HXE17</v>
      </c>
      <c r="M320" t="str">
        <f t="shared" si="13"/>
        <v>U systemu nawijania do tyłu i do ślimaka roletowego nie da się zastosować nakładanego systemu prowadzenia 29 mm i mechanizmu C3. Należy wybrać wersję FRAME.</v>
      </c>
      <c r="N320">
        <f t="shared" si="14"/>
        <v>1</v>
      </c>
    </row>
    <row r="321" spans="1:14" ht="14.4" thickBot="1" x14ac:dyDescent="0.35">
      <c r="A321" s="255" t="str">
        <f>výpočty!$R$15</f>
        <v>Poziomy (z lewej strony na prawą)</v>
      </c>
      <c r="B321" s="256" t="str">
        <f>výpočty!$R$9</f>
        <v>Do tyłu</v>
      </c>
      <c r="C321" t="str">
        <f>výpočty!$R$7</f>
        <v>Nakładany z prowadzeniem metalic-line 29 mm i mechanimem C3</v>
      </c>
      <c r="D321" s="27" t="str">
        <f>výpočty!$W$20</f>
        <v>Nierdz. szerokość 25 mm (metallic-line)</v>
      </c>
      <c r="E321" t="s">
        <v>2130</v>
      </c>
      <c r="F321">
        <v>1</v>
      </c>
      <c r="G321" s="321" t="str">
        <f>Překlady!$A$153</f>
        <v>U systemu nawijania do tyłu i do ślimaka roletowego nie da się zastosować nakładanego systemu prowadzenia 29 mm i mechanizmu C3. Należy wybrać wersję FRAME.</v>
      </c>
      <c r="H321" t="str">
        <f>VLOOKUP(A:A,výpočty!$R$14:$S$15,2,FALSE)</f>
        <v>H</v>
      </c>
      <c r="I321" t="str">
        <f>VLOOKUP(B:B,výpočty!$R$9:$S$11,2,FALSE)</f>
        <v>X</v>
      </c>
      <c r="J321" t="str">
        <f>VLOOKUP(CHYBY!C:C,výpočty!$R$3:$S$7,2,FALSE)</f>
        <v>E</v>
      </c>
      <c r="K321">
        <f>VLOOKUP(D:D,výpočty!$W$3:$X$20,2,FALSE)</f>
        <v>18</v>
      </c>
      <c r="L321" t="str">
        <f t="shared" si="12"/>
        <v>HXE18</v>
      </c>
      <c r="M321" t="str">
        <f t="shared" si="13"/>
        <v>U systemu nawijania do tyłu i do ślimaka roletowego nie da się zastosować nakładanego systemu prowadzenia 29 mm i mechanizmu C3. Należy wybrać wersję FRAME.</v>
      </c>
      <c r="N321">
        <f t="shared" si="14"/>
        <v>1</v>
      </c>
    </row>
    <row r="322" spans="1:14" ht="13.8" x14ac:dyDescent="0.3">
      <c r="A322" s="255" t="str">
        <f>výpočty!$R$15</f>
        <v>Poziomy (z lewej strony na prawą)</v>
      </c>
      <c r="B322" s="256" t="str">
        <f>výpočty!$R$10</f>
        <v>Do ślimaka roletowego</v>
      </c>
      <c r="C322" t="str">
        <f>výpočty!$R$3</f>
        <v>TOP Basic - wpuszczany do przykręcenia plastikowy</v>
      </c>
      <c r="D322" s="26" t="str">
        <f>výpočty!$W$3</f>
        <v>Czarny (E23)</v>
      </c>
      <c r="E322" t="s">
        <v>2130</v>
      </c>
      <c r="F322">
        <v>1</v>
      </c>
      <c r="G322" t="str">
        <f>Překlady!$A$147</f>
        <v>Systemu TOP BASIC nie da się zastosować z ślimakiem roletowym. Zalecamy wybrać wersję TOP.</v>
      </c>
      <c r="H322" t="str">
        <f>VLOOKUP(A:A,výpočty!$R$14:$S$15,2,FALSE)</f>
        <v>H</v>
      </c>
      <c r="I322" t="str">
        <f>VLOOKUP(B:B,výpočty!$R$9:$S$11,2,FALSE)</f>
        <v>Y</v>
      </c>
      <c r="J322" t="str">
        <f>VLOOKUP(CHYBY!C:C,výpočty!$R$3:$S$7,2,FALSE)</f>
        <v>A</v>
      </c>
      <c r="K322">
        <f>VLOOKUP(D:D,výpočty!$W$3:$X$20,2,FALSE)</f>
        <v>1</v>
      </c>
      <c r="L322" t="str">
        <f t="shared" si="12"/>
        <v>HYA1</v>
      </c>
      <c r="M322" t="str">
        <f t="shared" si="13"/>
        <v>Systemu TOP BASIC nie da się zastosować z ślimakiem roletowym. Zalecamy wybrać wersję TOP.</v>
      </c>
      <c r="N322">
        <f t="shared" si="14"/>
        <v>1</v>
      </c>
    </row>
    <row r="323" spans="1:14" ht="13.8" x14ac:dyDescent="0.3">
      <c r="A323" s="255" t="str">
        <f>výpočty!$R$15</f>
        <v>Poziomy (z lewej strony na prawą)</v>
      </c>
      <c r="B323" s="256" t="str">
        <f>výpočty!$R$10</f>
        <v>Do ślimaka roletowego</v>
      </c>
      <c r="C323" t="str">
        <f>výpočty!$R$3</f>
        <v>TOP Basic - wpuszczany do przykręcenia plastikowy</v>
      </c>
      <c r="D323" s="36" t="str">
        <f>výpočty!$W$4</f>
        <v>Biały (E23)</v>
      </c>
      <c r="E323" t="s">
        <v>2130</v>
      </c>
      <c r="F323">
        <v>1</v>
      </c>
      <c r="G323" t="str">
        <f>Překlady!$A$147</f>
        <v>Systemu TOP BASIC nie da się zastosować z ślimakiem roletowym. Zalecamy wybrać wersję TOP.</v>
      </c>
      <c r="H323" t="str">
        <f>VLOOKUP(A:A,výpočty!$R$14:$S$15,2,FALSE)</f>
        <v>H</v>
      </c>
      <c r="I323" t="str">
        <f>VLOOKUP(B:B,výpočty!$R$9:$S$11,2,FALSE)</f>
        <v>Y</v>
      </c>
      <c r="J323" t="str">
        <f>VLOOKUP(CHYBY!C:C,výpočty!$R$3:$S$7,2,FALSE)</f>
        <v>A</v>
      </c>
      <c r="K323">
        <f>VLOOKUP(D:D,výpočty!$W$3:$X$20,2,FALSE)</f>
        <v>2</v>
      </c>
      <c r="L323" t="str">
        <f t="shared" ref="L323:L386" si="15">TRIM(CONCATENATE(H323,I323,J323,K323))</f>
        <v>HYA2</v>
      </c>
      <c r="M323" t="str">
        <f t="shared" ref="M323:M386" si="16">IF(G:G="OK","",G:G)</f>
        <v>Systemu TOP BASIC nie da się zastosować z ślimakiem roletowym. Zalecamy wybrać wersję TOP.</v>
      </c>
      <c r="N323">
        <f t="shared" ref="N323:N386" si="17">F:F</f>
        <v>1</v>
      </c>
    </row>
    <row r="324" spans="1:14" ht="13.8" x14ac:dyDescent="0.3">
      <c r="A324" s="255" t="str">
        <f>výpočty!$R$15</f>
        <v>Poziomy (z lewej strony na prawą)</v>
      </c>
      <c r="B324" s="256" t="str">
        <f>výpočty!$R$10</f>
        <v>Do ślimaka roletowego</v>
      </c>
      <c r="C324" t="str">
        <f>výpočty!$R$3</f>
        <v>TOP Basic - wpuszczany do przykręcenia plastikowy</v>
      </c>
      <c r="D324" s="36" t="str">
        <f>výpočty!$W$5</f>
        <v>Szary (E23)</v>
      </c>
      <c r="E324" t="s">
        <v>2130</v>
      </c>
      <c r="F324">
        <v>1</v>
      </c>
      <c r="G324" t="str">
        <f>Překlady!$A$147</f>
        <v>Systemu TOP BASIC nie da się zastosować z ślimakiem roletowym. Zalecamy wybrać wersję TOP.</v>
      </c>
      <c r="H324" t="str">
        <f>VLOOKUP(A:A,výpočty!$R$14:$S$15,2,FALSE)</f>
        <v>H</v>
      </c>
      <c r="I324" t="str">
        <f>VLOOKUP(B:B,výpočty!$R$9:$S$11,2,FALSE)</f>
        <v>Y</v>
      </c>
      <c r="J324" t="str">
        <f>VLOOKUP(CHYBY!C:C,výpočty!$R$3:$S$7,2,FALSE)</f>
        <v>A</v>
      </c>
      <c r="K324">
        <f>VLOOKUP(D:D,výpočty!$W$3:$X$20,2,FALSE)</f>
        <v>3</v>
      </c>
      <c r="L324" t="str">
        <f t="shared" si="15"/>
        <v>HYA3</v>
      </c>
      <c r="M324" t="str">
        <f t="shared" si="16"/>
        <v>Systemu TOP BASIC nie da się zastosować z ślimakiem roletowym. Zalecamy wybrać wersję TOP.</v>
      </c>
      <c r="N324">
        <f t="shared" si="17"/>
        <v>1</v>
      </c>
    </row>
    <row r="325" spans="1:14" ht="13.8" x14ac:dyDescent="0.3">
      <c r="A325" s="255" t="str">
        <f>výpočty!$R$15</f>
        <v>Poziomy (z lewej strony na prawą)</v>
      </c>
      <c r="B325" s="256" t="str">
        <f>výpočty!$R$10</f>
        <v>Do ślimaka roletowego</v>
      </c>
      <c r="C325" t="str">
        <f>výpočty!$R$3</f>
        <v>TOP Basic - wpuszczany do przykręcenia plastikowy</v>
      </c>
      <c r="D325" s="36" t="str">
        <f>výpočty!$W$6</f>
        <v>Aluminowa plastik (E23)</v>
      </c>
      <c r="E325" t="s">
        <v>2130</v>
      </c>
      <c r="F325">
        <v>1</v>
      </c>
      <c r="G325" t="str">
        <f>Překlady!$A$147</f>
        <v>Systemu TOP BASIC nie da się zastosować z ślimakiem roletowym. Zalecamy wybrać wersję TOP.</v>
      </c>
      <c r="H325" t="str">
        <f>VLOOKUP(A:A,výpočty!$R$14:$S$15,2,FALSE)</f>
        <v>H</v>
      </c>
      <c r="I325" t="str">
        <f>VLOOKUP(B:B,výpočty!$R$9:$S$11,2,FALSE)</f>
        <v>Y</v>
      </c>
      <c r="J325" t="str">
        <f>VLOOKUP(CHYBY!C:C,výpočty!$R$3:$S$7,2,FALSE)</f>
        <v>A</v>
      </c>
      <c r="K325">
        <f>VLOOKUP(D:D,výpočty!$W$3:$X$20,2,FALSE)</f>
        <v>4</v>
      </c>
      <c r="L325" t="str">
        <f t="shared" si="15"/>
        <v>HYA4</v>
      </c>
      <c r="M325" t="str">
        <f t="shared" si="16"/>
        <v>Systemu TOP BASIC nie da się zastosować z ślimakiem roletowym. Zalecamy wybrać wersję TOP.</v>
      </c>
      <c r="N325">
        <f t="shared" si="17"/>
        <v>1</v>
      </c>
    </row>
    <row r="326" spans="1:14" ht="13.8" x14ac:dyDescent="0.3">
      <c r="A326" s="255" t="str">
        <f>výpočty!$R$15</f>
        <v>Poziomy (z lewej strony na prawą)</v>
      </c>
      <c r="B326" s="256" t="str">
        <f>výpočty!$R$10</f>
        <v>Do ślimaka roletowego</v>
      </c>
      <c r="C326" t="str">
        <f>výpočty!$R$3</f>
        <v>TOP Basic - wpuszczany do przykręcenia plastikowy</v>
      </c>
      <c r="D326" s="36" t="str">
        <f>výpočty!$W$7</f>
        <v>Buk (E23)</v>
      </c>
      <c r="E326" t="s">
        <v>2130</v>
      </c>
      <c r="F326">
        <v>1</v>
      </c>
      <c r="G326" t="str">
        <f>Překlady!$A$147</f>
        <v>Systemu TOP BASIC nie da się zastosować z ślimakiem roletowym. Zalecamy wybrać wersję TOP.</v>
      </c>
      <c r="H326" t="str">
        <f>VLOOKUP(A:A,výpočty!$R$14:$S$15,2,FALSE)</f>
        <v>H</v>
      </c>
      <c r="I326" t="str">
        <f>VLOOKUP(B:B,výpočty!$R$9:$S$11,2,FALSE)</f>
        <v>Y</v>
      </c>
      <c r="J326" t="str">
        <f>VLOOKUP(CHYBY!C:C,výpočty!$R$3:$S$7,2,FALSE)</f>
        <v>A</v>
      </c>
      <c r="K326">
        <f>VLOOKUP(D:D,výpočty!$W$3:$X$20,2,FALSE)</f>
        <v>5</v>
      </c>
      <c r="L326" t="str">
        <f t="shared" si="15"/>
        <v>HYA5</v>
      </c>
      <c r="M326" t="str">
        <f t="shared" si="16"/>
        <v>Systemu TOP BASIC nie da się zastosować z ślimakiem roletowym. Zalecamy wybrać wersję TOP.</v>
      </c>
      <c r="N326">
        <f t="shared" si="17"/>
        <v>1</v>
      </c>
    </row>
    <row r="327" spans="1:14" ht="13.8" x14ac:dyDescent="0.3">
      <c r="A327" s="255" t="str">
        <f>výpočty!$R$15</f>
        <v>Poziomy (z lewej strony na prawą)</v>
      </c>
      <c r="B327" s="256" t="str">
        <f>výpočty!$R$10</f>
        <v>Do ślimaka roletowego</v>
      </c>
      <c r="C327" t="str">
        <f>výpočty!$R$3</f>
        <v>TOP Basic - wpuszczany do przykręcenia plastikowy</v>
      </c>
      <c r="D327" s="36" t="str">
        <f>výpočty!$W$8</f>
        <v>Czereśnia (E23)</v>
      </c>
      <c r="E327" t="s">
        <v>2130</v>
      </c>
      <c r="F327">
        <v>1</v>
      </c>
      <c r="G327" t="str">
        <f>Překlady!$A$147</f>
        <v>Systemu TOP BASIC nie da się zastosować z ślimakiem roletowym. Zalecamy wybrać wersję TOP.</v>
      </c>
      <c r="H327" t="str">
        <f>VLOOKUP(A:A,výpočty!$R$14:$S$15,2,FALSE)</f>
        <v>H</v>
      </c>
      <c r="I327" t="str">
        <f>VLOOKUP(B:B,výpočty!$R$9:$S$11,2,FALSE)</f>
        <v>Y</v>
      </c>
      <c r="J327" t="str">
        <f>VLOOKUP(CHYBY!C:C,výpočty!$R$3:$S$7,2,FALSE)</f>
        <v>A</v>
      </c>
      <c r="K327">
        <f>VLOOKUP(D:D,výpočty!$W$3:$X$20,2,FALSE)</f>
        <v>6</v>
      </c>
      <c r="L327" t="str">
        <f t="shared" si="15"/>
        <v>HYA6</v>
      </c>
      <c r="M327" t="str">
        <f t="shared" si="16"/>
        <v>Systemu TOP BASIC nie da się zastosować z ślimakiem roletowym. Zalecamy wybrać wersję TOP.</v>
      </c>
      <c r="N327">
        <f t="shared" si="17"/>
        <v>1</v>
      </c>
    </row>
    <row r="328" spans="1:14" ht="13.8" x14ac:dyDescent="0.3">
      <c r="A328" s="255" t="str">
        <f>výpočty!$R$15</f>
        <v>Poziomy (z lewej strony na prawą)</v>
      </c>
      <c r="B328" s="256" t="str">
        <f>výpočty!$R$10</f>
        <v>Do ślimaka roletowego</v>
      </c>
      <c r="C328" t="str">
        <f>výpočty!$R$3</f>
        <v>TOP Basic - wpuszczany do przykręcenia plastikowy</v>
      </c>
      <c r="D328" s="36" t="str">
        <f>výpočty!$W$9</f>
        <v>Klon (E23)</v>
      </c>
      <c r="E328" t="s">
        <v>2130</v>
      </c>
      <c r="F328">
        <v>1</v>
      </c>
      <c r="G328" t="str">
        <f>Překlady!$A$147</f>
        <v>Systemu TOP BASIC nie da się zastosować z ślimakiem roletowym. Zalecamy wybrać wersję TOP.</v>
      </c>
      <c r="H328" t="str">
        <f>VLOOKUP(A:A,výpočty!$R$14:$S$15,2,FALSE)</f>
        <v>H</v>
      </c>
      <c r="I328" t="str">
        <f>VLOOKUP(B:B,výpočty!$R$9:$S$11,2,FALSE)</f>
        <v>Y</v>
      </c>
      <c r="J328" t="str">
        <f>VLOOKUP(CHYBY!C:C,výpočty!$R$3:$S$7,2,FALSE)</f>
        <v>A</v>
      </c>
      <c r="K328">
        <f>VLOOKUP(D:D,výpočty!$W$3:$X$20,2,FALSE)</f>
        <v>7</v>
      </c>
      <c r="L328" t="str">
        <f t="shared" si="15"/>
        <v>HYA7</v>
      </c>
      <c r="M328" t="str">
        <f t="shared" si="16"/>
        <v>Systemu TOP BASIC nie da się zastosować z ślimakiem roletowym. Zalecamy wybrać wersję TOP.</v>
      </c>
      <c r="N328">
        <f t="shared" si="17"/>
        <v>1</v>
      </c>
    </row>
    <row r="329" spans="1:14" ht="13.8" x14ac:dyDescent="0.3">
      <c r="A329" s="255" t="str">
        <f>výpočty!$R$15</f>
        <v>Poziomy (z lewej strony na prawą)</v>
      </c>
      <c r="B329" s="256" t="str">
        <f>výpočty!$R$10</f>
        <v>Do ślimaka roletowego</v>
      </c>
      <c r="C329" t="str">
        <f>výpočty!$R$3</f>
        <v>TOP Basic - wpuszczany do przykręcenia plastikowy</v>
      </c>
      <c r="D329" s="36" t="str">
        <f>výpočty!$W$10</f>
        <v>Brzoza (E23)</v>
      </c>
      <c r="E329" t="s">
        <v>2130</v>
      </c>
      <c r="F329">
        <v>1</v>
      </c>
      <c r="G329" t="str">
        <f>Překlady!$A$147</f>
        <v>Systemu TOP BASIC nie da się zastosować z ślimakiem roletowym. Zalecamy wybrać wersję TOP.</v>
      </c>
      <c r="H329" t="str">
        <f>VLOOKUP(A:A,výpočty!$R$14:$S$15,2,FALSE)</f>
        <v>H</v>
      </c>
      <c r="I329" t="str">
        <f>VLOOKUP(B:B,výpočty!$R$9:$S$11,2,FALSE)</f>
        <v>Y</v>
      </c>
      <c r="J329" t="str">
        <f>VLOOKUP(CHYBY!C:C,výpočty!$R$3:$S$7,2,FALSE)</f>
        <v>A</v>
      </c>
      <c r="K329">
        <f>VLOOKUP(D:D,výpočty!$W$3:$X$20,2,FALSE)</f>
        <v>8</v>
      </c>
      <c r="L329" t="str">
        <f t="shared" si="15"/>
        <v>HYA8</v>
      </c>
      <c r="M329" t="str">
        <f t="shared" si="16"/>
        <v>Systemu TOP BASIC nie da się zastosować z ślimakiem roletowym. Zalecamy wybrać wersję TOP.</v>
      </c>
      <c r="N329">
        <f t="shared" si="17"/>
        <v>1</v>
      </c>
    </row>
    <row r="330" spans="1:14" ht="13.8" x14ac:dyDescent="0.3">
      <c r="A330" s="255" t="str">
        <f>výpočty!$R$15</f>
        <v>Poziomy (z lewej strony na prawą)</v>
      </c>
      <c r="B330" s="256" t="str">
        <f>výpočty!$R$10</f>
        <v>Do ślimaka roletowego</v>
      </c>
      <c r="C330" t="str">
        <f>výpočty!$R$3</f>
        <v>TOP Basic - wpuszczany do przykręcenia plastikowy</v>
      </c>
      <c r="D330" s="36" t="str">
        <f>výpočty!$W$11</f>
        <v>Czereśnia havana (E23)</v>
      </c>
      <c r="E330" t="s">
        <v>2130</v>
      </c>
      <c r="F330">
        <v>1</v>
      </c>
      <c r="G330" t="str">
        <f>Překlady!$A$147</f>
        <v>Systemu TOP BASIC nie da się zastosować z ślimakiem roletowym. Zalecamy wybrać wersję TOP.</v>
      </c>
      <c r="H330" t="str">
        <f>VLOOKUP(A:A,výpočty!$R$14:$S$15,2,FALSE)</f>
        <v>H</v>
      </c>
      <c r="I330" t="str">
        <f>VLOOKUP(B:B,výpočty!$R$9:$S$11,2,FALSE)</f>
        <v>Y</v>
      </c>
      <c r="J330" t="str">
        <f>VLOOKUP(CHYBY!C:C,výpočty!$R$3:$S$7,2,FALSE)</f>
        <v>A</v>
      </c>
      <c r="K330">
        <f>VLOOKUP(D:D,výpočty!$W$3:$X$20,2,FALSE)</f>
        <v>9</v>
      </c>
      <c r="L330" t="str">
        <f t="shared" si="15"/>
        <v>HYA9</v>
      </c>
      <c r="M330" t="str">
        <f t="shared" si="16"/>
        <v>Systemu TOP BASIC nie da się zastosować z ślimakiem roletowym. Zalecamy wybrać wersję TOP.</v>
      </c>
      <c r="N330">
        <f t="shared" si="17"/>
        <v>1</v>
      </c>
    </row>
    <row r="331" spans="1:14" ht="13.8" x14ac:dyDescent="0.3">
      <c r="A331" s="255" t="str">
        <f>výpočty!$R$15</f>
        <v>Poziomy (z lewej strony na prawą)</v>
      </c>
      <c r="B331" s="256" t="str">
        <f>výpočty!$R$10</f>
        <v>Do ślimaka roletowego</v>
      </c>
      <c r="C331" t="str">
        <f>výpočty!$R$3</f>
        <v>TOP Basic - wpuszczany do przykręcenia plastikowy</v>
      </c>
      <c r="D331" s="36" t="str">
        <f>výpočty!$W$12</f>
        <v>Calvados (E23)</v>
      </c>
      <c r="E331" t="s">
        <v>2130</v>
      </c>
      <c r="F331">
        <v>1</v>
      </c>
      <c r="G331" t="str">
        <f>Překlady!$A$147</f>
        <v>Systemu TOP BASIC nie da się zastosować z ślimakiem roletowym. Zalecamy wybrać wersję TOP.</v>
      </c>
      <c r="H331" t="str">
        <f>VLOOKUP(A:A,výpočty!$R$14:$S$15,2,FALSE)</f>
        <v>H</v>
      </c>
      <c r="I331" t="str">
        <f>VLOOKUP(B:B,výpočty!$R$9:$S$11,2,FALSE)</f>
        <v>Y</v>
      </c>
      <c r="J331" t="str">
        <f>VLOOKUP(CHYBY!C:C,výpočty!$R$3:$S$7,2,FALSE)</f>
        <v>A</v>
      </c>
      <c r="K331">
        <f>VLOOKUP(D:D,výpočty!$W$3:$X$20,2,FALSE)</f>
        <v>10</v>
      </c>
      <c r="L331" t="str">
        <f t="shared" si="15"/>
        <v>HYA10</v>
      </c>
      <c r="M331" t="str">
        <f t="shared" si="16"/>
        <v>Systemu TOP BASIC nie da się zastosować z ślimakiem roletowym. Zalecamy wybrać wersję TOP.</v>
      </c>
      <c r="N331">
        <f t="shared" si="17"/>
        <v>1</v>
      </c>
    </row>
    <row r="332" spans="1:14" ht="13.8" x14ac:dyDescent="0.3">
      <c r="A332" s="255" t="str">
        <f>výpočty!$R$15</f>
        <v>Poziomy (z lewej strony na prawą)</v>
      </c>
      <c r="B332" s="256" t="str">
        <f>výpočty!$R$10</f>
        <v>Do ślimaka roletowego</v>
      </c>
      <c r="C332" t="str">
        <f>výpočty!$R$3</f>
        <v>TOP Basic - wpuszczany do przykręcenia plastikowy</v>
      </c>
      <c r="D332" s="36" t="str">
        <f>výpočty!$W$14</f>
        <v>śnieżno biala mat (E9)</v>
      </c>
      <c r="E332" t="s">
        <v>2130</v>
      </c>
      <c r="F332">
        <v>1</v>
      </c>
      <c r="G332" s="321" t="str">
        <f>Překlady!$A$142</f>
        <v>Kolor śnieżno biały w profilu E9 można łączyć jedynie z prowadzeniem Classic i systemem nawijania do tyłu</v>
      </c>
      <c r="H332" t="str">
        <f>VLOOKUP(A:A,výpočty!$R$14:$S$15,2,FALSE)</f>
        <v>H</v>
      </c>
      <c r="I332" t="str">
        <f>VLOOKUP(B:B,výpočty!$R$9:$S$11,2,FALSE)</f>
        <v>Y</v>
      </c>
      <c r="J332" t="str">
        <f>VLOOKUP(CHYBY!C:C,výpočty!$R$3:$S$7,2,FALSE)</f>
        <v>A</v>
      </c>
      <c r="K332">
        <f>VLOOKUP(D:D,výpočty!$W$3:$X$20,2,FALSE)</f>
        <v>12</v>
      </c>
      <c r="L332" t="str">
        <f t="shared" si="15"/>
        <v>HYA12</v>
      </c>
      <c r="M332" t="str">
        <f t="shared" si="16"/>
        <v>Kolor śnieżno biały w profilu E9 można łączyć jedynie z prowadzeniem Classic i systemem nawijania do tyłu</v>
      </c>
      <c r="N332">
        <f t="shared" si="17"/>
        <v>1</v>
      </c>
    </row>
    <row r="333" spans="1:14" ht="13.8" x14ac:dyDescent="0.3">
      <c r="A333" s="255" t="str">
        <f>výpočty!$R$15</f>
        <v>Poziomy (z lewej strony na prawą)</v>
      </c>
      <c r="B333" s="256" t="str">
        <f>výpočty!$R$10</f>
        <v>Do ślimaka roletowego</v>
      </c>
      <c r="C333" t="str">
        <f>výpočty!$R$3</f>
        <v>TOP Basic - wpuszczany do przykręcenia plastikowy</v>
      </c>
      <c r="D333" s="36" t="str">
        <f>výpočty!$W$15</f>
        <v>Aluminowa plastik (E4)</v>
      </c>
      <c r="E333" t="s">
        <v>2130</v>
      </c>
      <c r="F333">
        <v>1</v>
      </c>
      <c r="G333" s="321" t="str">
        <f>Překlady!$A$143</f>
        <v>Kolor aluminium plastik w profilu E4 jest idealny do poziomych rozwiązań w kombinacji z prowadzeniem Classic z systemem nawijania do tyłu</v>
      </c>
      <c r="H333" t="str">
        <f>VLOOKUP(A:A,výpočty!$R$14:$S$15,2,FALSE)</f>
        <v>H</v>
      </c>
      <c r="I333" t="str">
        <f>VLOOKUP(B:B,výpočty!$R$9:$S$11,2,FALSE)</f>
        <v>Y</v>
      </c>
      <c r="J333" t="str">
        <f>VLOOKUP(CHYBY!C:C,výpočty!$R$3:$S$7,2,FALSE)</f>
        <v>A</v>
      </c>
      <c r="K333">
        <f>VLOOKUP(D:D,výpočty!$W$3:$X$20,2,FALSE)</f>
        <v>13</v>
      </c>
      <c r="L333" t="str">
        <f t="shared" si="15"/>
        <v>HYA13</v>
      </c>
      <c r="M333" t="str">
        <f t="shared" si="16"/>
        <v>Kolor aluminium plastik w profilu E4 jest idealny do poziomych rozwiązań w kombinacji z prowadzeniem Classic z systemem nawijania do tyłu</v>
      </c>
      <c r="N333">
        <f t="shared" si="17"/>
        <v>1</v>
      </c>
    </row>
    <row r="334" spans="1:14" ht="13.8" x14ac:dyDescent="0.3">
      <c r="A334" s="255" t="str">
        <f>výpočty!$R$15</f>
        <v>Poziomy (z lewej strony na prawą)</v>
      </c>
      <c r="B334" s="256" t="str">
        <f>výpočty!$R$10</f>
        <v>Do ślimaka roletowego</v>
      </c>
      <c r="C334" t="str">
        <f>výpočty!$R$3</f>
        <v>TOP Basic - wpuszczany do przykręcenia plastikowy</v>
      </c>
      <c r="D334" s="36">
        <f>výpočty!$W$17</f>
        <v>0</v>
      </c>
      <c r="E334" t="s">
        <v>2130</v>
      </c>
      <c r="F334">
        <v>1</v>
      </c>
      <c r="G334" t="str">
        <f>Překlady!$A$147</f>
        <v>Systemu TOP BASIC nie da się zastosować z ślimakiem roletowym. Zalecamy wybrać wersję TOP.</v>
      </c>
      <c r="H334" t="str">
        <f>VLOOKUP(A:A,výpočty!$R$14:$S$15,2,FALSE)</f>
        <v>H</v>
      </c>
      <c r="I334" t="str">
        <f>VLOOKUP(B:B,výpočty!$R$9:$S$11,2,FALSE)</f>
        <v>Y</v>
      </c>
      <c r="J334" t="str">
        <f>VLOOKUP(CHYBY!C:C,výpočty!$R$3:$S$7,2,FALSE)</f>
        <v>A</v>
      </c>
      <c r="K334" t="e">
        <f>VLOOKUP(D:D,výpočty!$W$3:$X$20,2,FALSE)</f>
        <v>#N/A</v>
      </c>
      <c r="L334" t="e">
        <f t="shared" si="15"/>
        <v>#N/A</v>
      </c>
      <c r="M334" t="str">
        <f t="shared" si="16"/>
        <v>Systemu TOP BASIC nie da się zastosować z ślimakiem roletowym. Zalecamy wybrać wersję TOP.</v>
      </c>
      <c r="N334">
        <f t="shared" si="17"/>
        <v>1</v>
      </c>
    </row>
    <row r="335" spans="1:14" ht="13.8" x14ac:dyDescent="0.3">
      <c r="A335" s="255" t="str">
        <f>výpočty!$R$15</f>
        <v>Poziomy (z lewej strony na prawą)</v>
      </c>
      <c r="B335" s="256" t="str">
        <f>výpočty!$R$10</f>
        <v>Do ślimaka roletowego</v>
      </c>
      <c r="C335" t="str">
        <f>výpočty!$R$3</f>
        <v>TOP Basic - wpuszczany do przykręcenia plastikowy</v>
      </c>
      <c r="D335" s="36">
        <f>výpočty!$W$18</f>
        <v>0</v>
      </c>
      <c r="E335" t="s">
        <v>2130</v>
      </c>
      <c r="F335">
        <v>1</v>
      </c>
      <c r="G335" t="str">
        <f>Překlady!$A$147</f>
        <v>Systemu TOP BASIC nie da się zastosować z ślimakiem roletowym. Zalecamy wybrać wersję TOP.</v>
      </c>
      <c r="H335" t="str">
        <f>VLOOKUP(A:A,výpočty!$R$14:$S$15,2,FALSE)</f>
        <v>H</v>
      </c>
      <c r="I335" t="str">
        <f>VLOOKUP(B:B,výpočty!$R$9:$S$11,2,FALSE)</f>
        <v>Y</v>
      </c>
      <c r="J335" t="str">
        <f>VLOOKUP(CHYBY!C:C,výpočty!$R$3:$S$7,2,FALSE)</f>
        <v>A</v>
      </c>
      <c r="K335" t="e">
        <f>VLOOKUP(D:D,výpočty!$W$3:$X$20,2,FALSE)</f>
        <v>#N/A</v>
      </c>
      <c r="L335" t="e">
        <f t="shared" si="15"/>
        <v>#N/A</v>
      </c>
      <c r="M335" t="str">
        <f t="shared" si="16"/>
        <v>Systemu TOP BASIC nie da się zastosować z ślimakiem roletowym. Zalecamy wybrać wersję TOP.</v>
      </c>
      <c r="N335">
        <f t="shared" si="17"/>
        <v>1</v>
      </c>
    </row>
    <row r="336" spans="1:14" ht="13.8" x14ac:dyDescent="0.3">
      <c r="A336" s="255" t="str">
        <f>výpočty!$R$15</f>
        <v>Poziomy (z lewej strony na prawą)</v>
      </c>
      <c r="B336" s="256" t="str">
        <f>výpočty!$R$10</f>
        <v>Do ślimaka roletowego</v>
      </c>
      <c r="C336" t="str">
        <f>výpočty!$R$3</f>
        <v>TOP Basic - wpuszczany do przykręcenia plastikowy</v>
      </c>
      <c r="D336" s="36" t="str">
        <f>výpočty!$W$19</f>
        <v>Aluminium szerokość 25 mm (metallic-line)</v>
      </c>
      <c r="E336" t="s">
        <v>2130</v>
      </c>
      <c r="F336">
        <v>1</v>
      </c>
      <c r="G336" t="str">
        <f>Překlady!$A$147</f>
        <v>Systemu TOP BASIC nie da się zastosować z ślimakiem roletowym. Zalecamy wybrać wersję TOP.</v>
      </c>
      <c r="H336" t="str">
        <f>VLOOKUP(A:A,výpočty!$R$14:$S$15,2,FALSE)</f>
        <v>H</v>
      </c>
      <c r="I336" t="str">
        <f>VLOOKUP(B:B,výpočty!$R$9:$S$11,2,FALSE)</f>
        <v>Y</v>
      </c>
      <c r="J336" t="str">
        <f>VLOOKUP(CHYBY!C:C,výpočty!$R$3:$S$7,2,FALSE)</f>
        <v>A</v>
      </c>
      <c r="K336">
        <f>VLOOKUP(D:D,výpočty!$W$3:$X$20,2,FALSE)</f>
        <v>17</v>
      </c>
      <c r="L336" t="str">
        <f t="shared" si="15"/>
        <v>HYA17</v>
      </c>
      <c r="M336" t="str">
        <f t="shared" si="16"/>
        <v>Systemu TOP BASIC nie da się zastosować z ślimakiem roletowym. Zalecamy wybrać wersję TOP.</v>
      </c>
      <c r="N336">
        <f t="shared" si="17"/>
        <v>1</v>
      </c>
    </row>
    <row r="337" spans="1:14" ht="14.4" thickBot="1" x14ac:dyDescent="0.35">
      <c r="A337" s="255" t="str">
        <f>výpočty!$R$15</f>
        <v>Poziomy (z lewej strony na prawą)</v>
      </c>
      <c r="B337" s="256" t="str">
        <f>výpočty!$R$10</f>
        <v>Do ślimaka roletowego</v>
      </c>
      <c r="C337" t="str">
        <f>výpočty!$R$3</f>
        <v>TOP Basic - wpuszczany do przykręcenia plastikowy</v>
      </c>
      <c r="D337" s="27" t="str">
        <f>výpočty!$W$20</f>
        <v>Nierdz. szerokość 25 mm (metallic-line)</v>
      </c>
      <c r="E337" t="s">
        <v>2130</v>
      </c>
      <c r="F337">
        <v>1</v>
      </c>
      <c r="G337" t="str">
        <f>Překlady!$A$147</f>
        <v>Systemu TOP BASIC nie da się zastosować z ślimakiem roletowym. Zalecamy wybrać wersję TOP.</v>
      </c>
      <c r="H337" t="str">
        <f>VLOOKUP(A:A,výpočty!$R$14:$S$15,2,FALSE)</f>
        <v>H</v>
      </c>
      <c r="I337" t="str">
        <f>VLOOKUP(B:B,výpočty!$R$9:$S$11,2,FALSE)</f>
        <v>Y</v>
      </c>
      <c r="J337" t="str">
        <f>VLOOKUP(CHYBY!C:C,výpočty!$R$3:$S$7,2,FALSE)</f>
        <v>A</v>
      </c>
      <c r="K337">
        <f>VLOOKUP(D:D,výpočty!$W$3:$X$20,2,FALSE)</f>
        <v>18</v>
      </c>
      <c r="L337" t="str">
        <f t="shared" si="15"/>
        <v>HYA18</v>
      </c>
      <c r="M337" t="str">
        <f t="shared" si="16"/>
        <v>Systemu TOP BASIC nie da się zastosować z ślimakiem roletowym. Zalecamy wybrać wersję TOP.</v>
      </c>
      <c r="N337">
        <f t="shared" si="17"/>
        <v>1</v>
      </c>
    </row>
    <row r="338" spans="1:14" ht="13.8" x14ac:dyDescent="0.3">
      <c r="A338" s="255" t="str">
        <f>výpočty!$R$15</f>
        <v>Poziomy (z lewej strony na prawą)</v>
      </c>
      <c r="B338" s="256" t="str">
        <f>výpočty!$R$10</f>
        <v>Do ślimaka roletowego</v>
      </c>
      <c r="C338" t="str">
        <f>výpočty!$R$4</f>
        <v>Classic - wpuszczany do zafrezowania</v>
      </c>
      <c r="D338" s="26" t="str">
        <f>výpočty!$W$3</f>
        <v>Czarny (E23)</v>
      </c>
      <c r="E338" t="s">
        <v>2129</v>
      </c>
      <c r="F338">
        <v>0</v>
      </c>
      <c r="G338" t="s">
        <v>2139</v>
      </c>
      <c r="H338" t="str">
        <f>VLOOKUP(A:A,výpočty!$R$14:$S$15,2,FALSE)</f>
        <v>H</v>
      </c>
      <c r="I338" t="str">
        <f>VLOOKUP(B:B,výpočty!$R$9:$S$11,2,FALSE)</f>
        <v>Y</v>
      </c>
      <c r="J338" t="str">
        <f>VLOOKUP(CHYBY!C:C,výpočty!$R$3:$S$7,2,FALSE)</f>
        <v>B</v>
      </c>
      <c r="K338">
        <f>VLOOKUP(D:D,výpočty!$W$3:$X$20,2,FALSE)</f>
        <v>1</v>
      </c>
      <c r="L338" t="str">
        <f t="shared" si="15"/>
        <v>HYB1</v>
      </c>
      <c r="M338" t="str">
        <f t="shared" si="16"/>
        <v/>
      </c>
      <c r="N338">
        <f t="shared" si="17"/>
        <v>0</v>
      </c>
    </row>
    <row r="339" spans="1:14" ht="13.8" x14ac:dyDescent="0.3">
      <c r="A339" s="255" t="str">
        <f>výpočty!$R$15</f>
        <v>Poziomy (z lewej strony na prawą)</v>
      </c>
      <c r="B339" s="256" t="str">
        <f>výpočty!$R$10</f>
        <v>Do ślimaka roletowego</v>
      </c>
      <c r="C339" t="str">
        <f>výpočty!$R$4</f>
        <v>Classic - wpuszczany do zafrezowania</v>
      </c>
      <c r="D339" s="36" t="str">
        <f>výpočty!$W$4</f>
        <v>Biały (E23)</v>
      </c>
      <c r="E339" t="s">
        <v>2129</v>
      </c>
      <c r="F339">
        <v>0</v>
      </c>
      <c r="G339" t="s">
        <v>2139</v>
      </c>
      <c r="H339" t="str">
        <f>VLOOKUP(A:A,výpočty!$R$14:$S$15,2,FALSE)</f>
        <v>H</v>
      </c>
      <c r="I339" t="str">
        <f>VLOOKUP(B:B,výpočty!$R$9:$S$11,2,FALSE)</f>
        <v>Y</v>
      </c>
      <c r="J339" t="str">
        <f>VLOOKUP(CHYBY!C:C,výpočty!$R$3:$S$7,2,FALSE)</f>
        <v>B</v>
      </c>
      <c r="K339">
        <f>VLOOKUP(D:D,výpočty!$W$3:$X$20,2,FALSE)</f>
        <v>2</v>
      </c>
      <c r="L339" t="str">
        <f t="shared" si="15"/>
        <v>HYB2</v>
      </c>
      <c r="M339" t="str">
        <f t="shared" si="16"/>
        <v/>
      </c>
      <c r="N339">
        <f t="shared" si="17"/>
        <v>0</v>
      </c>
    </row>
    <row r="340" spans="1:14" ht="13.8" x14ac:dyDescent="0.3">
      <c r="A340" s="255" t="str">
        <f>výpočty!$R$15</f>
        <v>Poziomy (z lewej strony na prawą)</v>
      </c>
      <c r="B340" s="256" t="str">
        <f>výpočty!$R$10</f>
        <v>Do ślimaka roletowego</v>
      </c>
      <c r="C340" t="str">
        <f>výpočty!$R$4</f>
        <v>Classic - wpuszczany do zafrezowania</v>
      </c>
      <c r="D340" s="36" t="str">
        <f>výpočty!$W$5</f>
        <v>Szary (E23)</v>
      </c>
      <c r="E340" t="s">
        <v>2129</v>
      </c>
      <c r="F340">
        <v>0</v>
      </c>
      <c r="G340" t="s">
        <v>2139</v>
      </c>
      <c r="H340" t="str">
        <f>VLOOKUP(A:A,výpočty!$R$14:$S$15,2,FALSE)</f>
        <v>H</v>
      </c>
      <c r="I340" t="str">
        <f>VLOOKUP(B:B,výpočty!$R$9:$S$11,2,FALSE)</f>
        <v>Y</v>
      </c>
      <c r="J340" t="str">
        <f>VLOOKUP(CHYBY!C:C,výpočty!$R$3:$S$7,2,FALSE)</f>
        <v>B</v>
      </c>
      <c r="K340">
        <f>VLOOKUP(D:D,výpočty!$W$3:$X$20,2,FALSE)</f>
        <v>3</v>
      </c>
      <c r="L340" t="str">
        <f t="shared" si="15"/>
        <v>HYB3</v>
      </c>
      <c r="M340" t="str">
        <f t="shared" si="16"/>
        <v/>
      </c>
      <c r="N340">
        <f t="shared" si="17"/>
        <v>0</v>
      </c>
    </row>
    <row r="341" spans="1:14" ht="13.8" x14ac:dyDescent="0.3">
      <c r="A341" s="255" t="str">
        <f>výpočty!$R$15</f>
        <v>Poziomy (z lewej strony na prawą)</v>
      </c>
      <c r="B341" s="256" t="str">
        <f>výpočty!$R$10</f>
        <v>Do ślimaka roletowego</v>
      </c>
      <c r="C341" t="str">
        <f>výpočty!$R$4</f>
        <v>Classic - wpuszczany do zafrezowania</v>
      </c>
      <c r="D341" s="36" t="str">
        <f>výpočty!$W$6</f>
        <v>Aluminowa plastik (E23)</v>
      </c>
      <c r="E341" t="s">
        <v>2129</v>
      </c>
      <c r="F341">
        <v>0</v>
      </c>
      <c r="G341" t="s">
        <v>2139</v>
      </c>
      <c r="H341" t="str">
        <f>VLOOKUP(A:A,výpočty!$R$14:$S$15,2,FALSE)</f>
        <v>H</v>
      </c>
      <c r="I341" t="str">
        <f>VLOOKUP(B:B,výpočty!$R$9:$S$11,2,FALSE)</f>
        <v>Y</v>
      </c>
      <c r="J341" t="str">
        <f>VLOOKUP(CHYBY!C:C,výpočty!$R$3:$S$7,2,FALSE)</f>
        <v>B</v>
      </c>
      <c r="K341">
        <f>VLOOKUP(D:D,výpočty!$W$3:$X$20,2,FALSE)</f>
        <v>4</v>
      </c>
      <c r="L341" t="str">
        <f t="shared" si="15"/>
        <v>HYB4</v>
      </c>
      <c r="M341" t="str">
        <f t="shared" si="16"/>
        <v/>
      </c>
      <c r="N341">
        <f t="shared" si="17"/>
        <v>0</v>
      </c>
    </row>
    <row r="342" spans="1:14" ht="13.8" x14ac:dyDescent="0.3">
      <c r="A342" s="255" t="str">
        <f>výpočty!$R$15</f>
        <v>Poziomy (z lewej strony na prawą)</v>
      </c>
      <c r="B342" s="256" t="str">
        <f>výpočty!$R$10</f>
        <v>Do ślimaka roletowego</v>
      </c>
      <c r="C342" t="str">
        <f>výpočty!$R$4</f>
        <v>Classic - wpuszczany do zafrezowania</v>
      </c>
      <c r="D342" s="36" t="str">
        <f>výpočty!$W$7</f>
        <v>Buk (E23)</v>
      </c>
      <c r="E342" t="s">
        <v>2129</v>
      </c>
      <c r="F342">
        <v>0</v>
      </c>
      <c r="G342" t="s">
        <v>2139</v>
      </c>
      <c r="H342" t="str">
        <f>VLOOKUP(A:A,výpočty!$R$14:$S$15,2,FALSE)</f>
        <v>H</v>
      </c>
      <c r="I342" t="str">
        <f>VLOOKUP(B:B,výpočty!$R$9:$S$11,2,FALSE)</f>
        <v>Y</v>
      </c>
      <c r="J342" t="str">
        <f>VLOOKUP(CHYBY!C:C,výpočty!$R$3:$S$7,2,FALSE)</f>
        <v>B</v>
      </c>
      <c r="K342">
        <f>VLOOKUP(D:D,výpočty!$W$3:$X$20,2,FALSE)</f>
        <v>5</v>
      </c>
      <c r="L342" t="str">
        <f t="shared" si="15"/>
        <v>HYB5</v>
      </c>
      <c r="M342" t="str">
        <f t="shared" si="16"/>
        <v/>
      </c>
      <c r="N342">
        <f t="shared" si="17"/>
        <v>0</v>
      </c>
    </row>
    <row r="343" spans="1:14" ht="13.8" x14ac:dyDescent="0.3">
      <c r="A343" s="255" t="str">
        <f>výpočty!$R$15</f>
        <v>Poziomy (z lewej strony na prawą)</v>
      </c>
      <c r="B343" s="256" t="str">
        <f>výpočty!$R$10</f>
        <v>Do ślimaka roletowego</v>
      </c>
      <c r="C343" t="str">
        <f>výpočty!$R$4</f>
        <v>Classic - wpuszczany do zafrezowania</v>
      </c>
      <c r="D343" s="36" t="str">
        <f>výpočty!$W$8</f>
        <v>Czereśnia (E23)</v>
      </c>
      <c r="E343" t="s">
        <v>2129</v>
      </c>
      <c r="F343">
        <v>0</v>
      </c>
      <c r="G343" t="s">
        <v>2139</v>
      </c>
      <c r="H343" t="str">
        <f>VLOOKUP(A:A,výpočty!$R$14:$S$15,2,FALSE)</f>
        <v>H</v>
      </c>
      <c r="I343" t="str">
        <f>VLOOKUP(B:B,výpočty!$R$9:$S$11,2,FALSE)</f>
        <v>Y</v>
      </c>
      <c r="J343" t="str">
        <f>VLOOKUP(CHYBY!C:C,výpočty!$R$3:$S$7,2,FALSE)</f>
        <v>B</v>
      </c>
      <c r="K343">
        <f>VLOOKUP(D:D,výpočty!$W$3:$X$20,2,FALSE)</f>
        <v>6</v>
      </c>
      <c r="L343" t="str">
        <f t="shared" si="15"/>
        <v>HYB6</v>
      </c>
      <c r="M343" t="str">
        <f t="shared" si="16"/>
        <v/>
      </c>
      <c r="N343">
        <f t="shared" si="17"/>
        <v>0</v>
      </c>
    </row>
    <row r="344" spans="1:14" ht="13.8" x14ac:dyDescent="0.3">
      <c r="A344" s="255" t="str">
        <f>výpočty!$R$15</f>
        <v>Poziomy (z lewej strony na prawą)</v>
      </c>
      <c r="B344" s="256" t="str">
        <f>výpočty!$R$10</f>
        <v>Do ślimaka roletowego</v>
      </c>
      <c r="C344" t="str">
        <f>výpočty!$R$4</f>
        <v>Classic - wpuszczany do zafrezowania</v>
      </c>
      <c r="D344" s="36" t="str">
        <f>výpočty!$W$9</f>
        <v>Klon (E23)</v>
      </c>
      <c r="E344" t="s">
        <v>2129</v>
      </c>
      <c r="F344">
        <v>0</v>
      </c>
      <c r="G344" t="s">
        <v>2139</v>
      </c>
      <c r="H344" t="str">
        <f>VLOOKUP(A:A,výpočty!$R$14:$S$15,2,FALSE)</f>
        <v>H</v>
      </c>
      <c r="I344" t="str">
        <f>VLOOKUP(B:B,výpočty!$R$9:$S$11,2,FALSE)</f>
        <v>Y</v>
      </c>
      <c r="J344" t="str">
        <f>VLOOKUP(CHYBY!C:C,výpočty!$R$3:$S$7,2,FALSE)</f>
        <v>B</v>
      </c>
      <c r="K344">
        <f>VLOOKUP(D:D,výpočty!$W$3:$X$20,2,FALSE)</f>
        <v>7</v>
      </c>
      <c r="L344" t="str">
        <f t="shared" si="15"/>
        <v>HYB7</v>
      </c>
      <c r="M344" t="str">
        <f t="shared" si="16"/>
        <v/>
      </c>
      <c r="N344">
        <f t="shared" si="17"/>
        <v>0</v>
      </c>
    </row>
    <row r="345" spans="1:14" ht="13.8" x14ac:dyDescent="0.3">
      <c r="A345" s="255" t="str">
        <f>výpočty!$R$15</f>
        <v>Poziomy (z lewej strony na prawą)</v>
      </c>
      <c r="B345" s="256" t="str">
        <f>výpočty!$R$10</f>
        <v>Do ślimaka roletowego</v>
      </c>
      <c r="C345" t="str">
        <f>výpočty!$R$4</f>
        <v>Classic - wpuszczany do zafrezowania</v>
      </c>
      <c r="D345" s="36" t="str">
        <f>výpočty!$W$10</f>
        <v>Brzoza (E23)</v>
      </c>
      <c r="E345" t="s">
        <v>2129</v>
      </c>
      <c r="F345">
        <v>0</v>
      </c>
      <c r="G345" t="s">
        <v>2139</v>
      </c>
      <c r="H345" t="str">
        <f>VLOOKUP(A:A,výpočty!$R$14:$S$15,2,FALSE)</f>
        <v>H</v>
      </c>
      <c r="I345" t="str">
        <f>VLOOKUP(B:B,výpočty!$R$9:$S$11,2,FALSE)</f>
        <v>Y</v>
      </c>
      <c r="J345" t="str">
        <f>VLOOKUP(CHYBY!C:C,výpočty!$R$3:$S$7,2,FALSE)</f>
        <v>B</v>
      </c>
      <c r="K345">
        <f>VLOOKUP(D:D,výpočty!$W$3:$X$20,2,FALSE)</f>
        <v>8</v>
      </c>
      <c r="L345" t="str">
        <f t="shared" si="15"/>
        <v>HYB8</v>
      </c>
      <c r="M345" t="str">
        <f t="shared" si="16"/>
        <v/>
      </c>
      <c r="N345">
        <f t="shared" si="17"/>
        <v>0</v>
      </c>
    </row>
    <row r="346" spans="1:14" ht="13.8" x14ac:dyDescent="0.3">
      <c r="A346" s="255" t="str">
        <f>výpočty!$R$15</f>
        <v>Poziomy (z lewej strony na prawą)</v>
      </c>
      <c r="B346" s="256" t="str">
        <f>výpočty!$R$10</f>
        <v>Do ślimaka roletowego</v>
      </c>
      <c r="C346" t="str">
        <f>výpočty!$R$4</f>
        <v>Classic - wpuszczany do zafrezowania</v>
      </c>
      <c r="D346" s="36" t="str">
        <f>výpočty!$W$11</f>
        <v>Czereśnia havana (E23)</v>
      </c>
      <c r="E346" t="s">
        <v>2129</v>
      </c>
      <c r="F346">
        <v>0</v>
      </c>
      <c r="G346" t="s">
        <v>2139</v>
      </c>
      <c r="H346" t="str">
        <f>VLOOKUP(A:A,výpočty!$R$14:$S$15,2,FALSE)</f>
        <v>H</v>
      </c>
      <c r="I346" t="str">
        <f>VLOOKUP(B:B,výpočty!$R$9:$S$11,2,FALSE)</f>
        <v>Y</v>
      </c>
      <c r="J346" t="str">
        <f>VLOOKUP(CHYBY!C:C,výpočty!$R$3:$S$7,2,FALSE)</f>
        <v>B</v>
      </c>
      <c r="K346">
        <f>VLOOKUP(D:D,výpočty!$W$3:$X$20,2,FALSE)</f>
        <v>9</v>
      </c>
      <c r="L346" t="str">
        <f t="shared" si="15"/>
        <v>HYB9</v>
      </c>
      <c r="M346" t="str">
        <f t="shared" si="16"/>
        <v/>
      </c>
      <c r="N346">
        <f t="shared" si="17"/>
        <v>0</v>
      </c>
    </row>
    <row r="347" spans="1:14" ht="13.8" x14ac:dyDescent="0.3">
      <c r="A347" s="255" t="str">
        <f>výpočty!$R$15</f>
        <v>Poziomy (z lewej strony na prawą)</v>
      </c>
      <c r="B347" s="256" t="str">
        <f>výpočty!$R$10</f>
        <v>Do ślimaka roletowego</v>
      </c>
      <c r="C347" t="str">
        <f>výpočty!$R$4</f>
        <v>Classic - wpuszczany do zafrezowania</v>
      </c>
      <c r="D347" s="36" t="str">
        <f>výpočty!$W$12</f>
        <v>Calvados (E23)</v>
      </c>
      <c r="E347" t="s">
        <v>2129</v>
      </c>
      <c r="F347">
        <v>0</v>
      </c>
      <c r="G347" t="s">
        <v>2139</v>
      </c>
      <c r="H347" t="str">
        <f>VLOOKUP(A:A,výpočty!$R$14:$S$15,2,FALSE)</f>
        <v>H</v>
      </c>
      <c r="I347" t="str">
        <f>VLOOKUP(B:B,výpočty!$R$9:$S$11,2,FALSE)</f>
        <v>Y</v>
      </c>
      <c r="J347" t="str">
        <f>VLOOKUP(CHYBY!C:C,výpočty!$R$3:$S$7,2,FALSE)</f>
        <v>B</v>
      </c>
      <c r="K347">
        <f>VLOOKUP(D:D,výpočty!$W$3:$X$20,2,FALSE)</f>
        <v>10</v>
      </c>
      <c r="L347" t="str">
        <f t="shared" si="15"/>
        <v>HYB10</v>
      </c>
      <c r="M347" t="str">
        <f t="shared" si="16"/>
        <v/>
      </c>
      <c r="N347">
        <f t="shared" si="17"/>
        <v>0</v>
      </c>
    </row>
    <row r="348" spans="1:14" ht="13.8" x14ac:dyDescent="0.3">
      <c r="A348" s="255" t="str">
        <f>výpočty!$R$15</f>
        <v>Poziomy (z lewej strony na prawą)</v>
      </c>
      <c r="B348" s="256" t="str">
        <f>výpočty!$R$10</f>
        <v>Do ślimaka roletowego</v>
      </c>
      <c r="C348" t="str">
        <f>výpočty!$R$4</f>
        <v>Classic - wpuszczany do zafrezowania</v>
      </c>
      <c r="D348" s="350" t="str">
        <f>výpočty!$W$14</f>
        <v>śnieżno biala mat (E9)</v>
      </c>
      <c r="E348" t="s">
        <v>2129</v>
      </c>
      <c r="F348">
        <v>0</v>
      </c>
      <c r="G348" t="s">
        <v>2139</v>
      </c>
      <c r="H348" t="str">
        <f>VLOOKUP(A:A,výpočty!$R$14:$S$15,2,FALSE)</f>
        <v>H</v>
      </c>
      <c r="I348" t="str">
        <f>VLOOKUP(B:B,výpočty!$R$9:$S$11,2,FALSE)</f>
        <v>Y</v>
      </c>
      <c r="J348" t="str">
        <f>VLOOKUP(CHYBY!C:C,výpočty!$R$3:$S$7,2,FALSE)</f>
        <v>B</v>
      </c>
      <c r="K348">
        <f>VLOOKUP(D:D,výpočty!$W$3:$X$20,2,FALSE)</f>
        <v>12</v>
      </c>
      <c r="L348" t="str">
        <f t="shared" si="15"/>
        <v>HYB12</v>
      </c>
      <c r="M348" t="str">
        <f t="shared" si="16"/>
        <v/>
      </c>
      <c r="N348">
        <f t="shared" si="17"/>
        <v>0</v>
      </c>
    </row>
    <row r="349" spans="1:14" ht="13.8" x14ac:dyDescent="0.3">
      <c r="A349" s="255" t="str">
        <f>výpočty!$R$15</f>
        <v>Poziomy (z lewej strony na prawą)</v>
      </c>
      <c r="B349" s="256" t="str">
        <f>výpočty!$R$10</f>
        <v>Do ślimaka roletowego</v>
      </c>
      <c r="C349" t="str">
        <f>výpočty!$R$4</f>
        <v>Classic - wpuszczany do zafrezowania</v>
      </c>
      <c r="D349" s="36" t="str">
        <f>výpočty!$W$15</f>
        <v>Aluminowa plastik (E4)</v>
      </c>
      <c r="E349" s="321" t="s">
        <v>2130</v>
      </c>
      <c r="F349" s="321">
        <v>1</v>
      </c>
      <c r="G349" s="321" t="str">
        <f>Překlady!$A$143</f>
        <v>Kolor aluminium plastik w profilu E4 jest idealny do poziomych rozwiązań w kombinacji z prowadzeniem Classic z systemem nawijania do tyłu</v>
      </c>
      <c r="H349" t="str">
        <f>VLOOKUP(A:A,výpočty!$R$14:$S$15,2,FALSE)</f>
        <v>H</v>
      </c>
      <c r="I349" t="str">
        <f>VLOOKUP(B:B,výpočty!$R$9:$S$11,2,FALSE)</f>
        <v>Y</v>
      </c>
      <c r="J349" t="str">
        <f>VLOOKUP(CHYBY!C:C,výpočty!$R$3:$S$7,2,FALSE)</f>
        <v>B</v>
      </c>
      <c r="K349">
        <f>VLOOKUP(D:D,výpočty!$W$3:$X$20,2,FALSE)</f>
        <v>13</v>
      </c>
      <c r="L349" t="str">
        <f t="shared" si="15"/>
        <v>HYB13</v>
      </c>
      <c r="M349" t="str">
        <f t="shared" si="16"/>
        <v>Kolor aluminium plastik w profilu E4 jest idealny do poziomych rozwiązań w kombinacji z prowadzeniem Classic z systemem nawijania do tyłu</v>
      </c>
      <c r="N349">
        <f t="shared" si="17"/>
        <v>1</v>
      </c>
    </row>
    <row r="350" spans="1:14" ht="13.8" x14ac:dyDescent="0.3">
      <c r="A350" s="255" t="str">
        <f>výpočty!$R$15</f>
        <v>Poziomy (z lewej strony na prawą)</v>
      </c>
      <c r="B350" s="256" t="str">
        <f>výpočty!$R$10</f>
        <v>Do ślimaka roletowego</v>
      </c>
      <c r="C350" t="str">
        <f>výpočty!$R$4</f>
        <v>Classic - wpuszczany do zafrezowania</v>
      </c>
      <c r="D350" s="36">
        <f>výpočty!$W$17</f>
        <v>0</v>
      </c>
      <c r="E350" t="s">
        <v>2129</v>
      </c>
      <c r="F350">
        <v>0</v>
      </c>
      <c r="G350" t="s">
        <v>2139</v>
      </c>
      <c r="H350" t="str">
        <f>VLOOKUP(A:A,výpočty!$R$14:$S$15,2,FALSE)</f>
        <v>H</v>
      </c>
      <c r="I350" t="str">
        <f>VLOOKUP(B:B,výpočty!$R$9:$S$11,2,FALSE)</f>
        <v>Y</v>
      </c>
      <c r="J350" t="str">
        <f>VLOOKUP(CHYBY!C:C,výpočty!$R$3:$S$7,2,FALSE)</f>
        <v>B</v>
      </c>
      <c r="K350" t="e">
        <f>VLOOKUP(D:D,výpočty!$W$3:$X$20,2,FALSE)</f>
        <v>#N/A</v>
      </c>
      <c r="L350" t="e">
        <f t="shared" si="15"/>
        <v>#N/A</v>
      </c>
      <c r="M350" t="str">
        <f t="shared" si="16"/>
        <v/>
      </c>
      <c r="N350">
        <f t="shared" si="17"/>
        <v>0</v>
      </c>
    </row>
    <row r="351" spans="1:14" ht="13.8" x14ac:dyDescent="0.3">
      <c r="A351" s="255" t="str">
        <f>výpočty!$R$15</f>
        <v>Poziomy (z lewej strony na prawą)</v>
      </c>
      <c r="B351" s="256" t="str">
        <f>výpočty!$R$10</f>
        <v>Do ślimaka roletowego</v>
      </c>
      <c r="C351" t="str">
        <f>výpočty!$R$4</f>
        <v>Classic - wpuszczany do zafrezowania</v>
      </c>
      <c r="D351" s="36">
        <f>výpočty!$W$18</f>
        <v>0</v>
      </c>
      <c r="E351" t="s">
        <v>2129</v>
      </c>
      <c r="F351">
        <v>0</v>
      </c>
      <c r="G351" t="s">
        <v>2139</v>
      </c>
      <c r="H351" t="str">
        <f>VLOOKUP(A:A,výpočty!$R$14:$S$15,2,FALSE)</f>
        <v>H</v>
      </c>
      <c r="I351" t="str">
        <f>VLOOKUP(B:B,výpočty!$R$9:$S$11,2,FALSE)</f>
        <v>Y</v>
      </c>
      <c r="J351" t="str">
        <f>VLOOKUP(CHYBY!C:C,výpočty!$R$3:$S$7,2,FALSE)</f>
        <v>B</v>
      </c>
      <c r="K351" t="e">
        <f>VLOOKUP(D:D,výpočty!$W$3:$X$20,2,FALSE)</f>
        <v>#N/A</v>
      </c>
      <c r="L351" t="e">
        <f t="shared" si="15"/>
        <v>#N/A</v>
      </c>
      <c r="M351" t="str">
        <f t="shared" si="16"/>
        <v/>
      </c>
      <c r="N351">
        <f t="shared" si="17"/>
        <v>0</v>
      </c>
    </row>
    <row r="352" spans="1:14" ht="13.8" x14ac:dyDescent="0.3">
      <c r="A352" s="255" t="str">
        <f>výpočty!$R$15</f>
        <v>Poziomy (z lewej strony na prawą)</v>
      </c>
      <c r="B352" s="256" t="str">
        <f>výpočty!$R$10</f>
        <v>Do ślimaka roletowego</v>
      </c>
      <c r="C352" t="str">
        <f>výpočty!$R$4</f>
        <v>Classic - wpuszczany do zafrezowania</v>
      </c>
      <c r="D352" s="36" t="str">
        <f>výpočty!$W$19</f>
        <v>Aluminium szerokość 25 mm (metallic-line)</v>
      </c>
      <c r="E352" t="s">
        <v>2129</v>
      </c>
      <c r="F352">
        <v>0</v>
      </c>
      <c r="G352" t="s">
        <v>2139</v>
      </c>
      <c r="H352" t="str">
        <f>VLOOKUP(A:A,výpočty!$R$14:$S$15,2,FALSE)</f>
        <v>H</v>
      </c>
      <c r="I352" t="str">
        <f>VLOOKUP(B:B,výpočty!$R$9:$S$11,2,FALSE)</f>
        <v>Y</v>
      </c>
      <c r="J352" t="str">
        <f>VLOOKUP(CHYBY!C:C,výpočty!$R$3:$S$7,2,FALSE)</f>
        <v>B</v>
      </c>
      <c r="K352">
        <f>VLOOKUP(D:D,výpočty!$W$3:$X$20,2,FALSE)</f>
        <v>17</v>
      </c>
      <c r="L352" t="str">
        <f t="shared" si="15"/>
        <v>HYB17</v>
      </c>
      <c r="M352" t="str">
        <f t="shared" si="16"/>
        <v/>
      </c>
      <c r="N352">
        <f t="shared" si="17"/>
        <v>0</v>
      </c>
    </row>
    <row r="353" spans="1:14" ht="14.4" thickBot="1" x14ac:dyDescent="0.35">
      <c r="A353" s="255" t="str">
        <f>výpočty!$R$15</f>
        <v>Poziomy (z lewej strony na prawą)</v>
      </c>
      <c r="B353" s="256" t="str">
        <f>výpočty!$R$10</f>
        <v>Do ślimaka roletowego</v>
      </c>
      <c r="C353" t="str">
        <f>výpočty!$R$4</f>
        <v>Classic - wpuszczany do zafrezowania</v>
      </c>
      <c r="D353" s="27" t="str">
        <f>výpočty!$W$20</f>
        <v>Nierdz. szerokość 25 mm (metallic-line)</v>
      </c>
      <c r="E353" t="s">
        <v>2129</v>
      </c>
      <c r="F353">
        <v>0</v>
      </c>
      <c r="G353" t="s">
        <v>2139</v>
      </c>
      <c r="H353" t="str">
        <f>VLOOKUP(A:A,výpočty!$R$14:$S$15,2,FALSE)</f>
        <v>H</v>
      </c>
      <c r="I353" t="str">
        <f>VLOOKUP(B:B,výpočty!$R$9:$S$11,2,FALSE)</f>
        <v>Y</v>
      </c>
      <c r="J353" t="str">
        <f>VLOOKUP(CHYBY!C:C,výpočty!$R$3:$S$7,2,FALSE)</f>
        <v>B</v>
      </c>
      <c r="K353">
        <f>VLOOKUP(D:D,výpočty!$W$3:$X$20,2,FALSE)</f>
        <v>18</v>
      </c>
      <c r="L353" t="str">
        <f t="shared" si="15"/>
        <v>HYB18</v>
      </c>
      <c r="M353" t="str">
        <f t="shared" si="16"/>
        <v/>
      </c>
      <c r="N353">
        <f t="shared" si="17"/>
        <v>0</v>
      </c>
    </row>
    <row r="354" spans="1:14" ht="13.8" x14ac:dyDescent="0.3">
      <c r="A354" s="255" t="str">
        <f>výpočty!$R$15</f>
        <v>Poziomy (z lewej strony na prawą)</v>
      </c>
      <c r="B354" s="256" t="str">
        <f>výpočty!$R$10</f>
        <v>Do ślimaka roletowego</v>
      </c>
      <c r="C354" t="str">
        <f>výpočty!$R$5</f>
        <v>Frame - nakładany z listwą maskującą</v>
      </c>
      <c r="D354" s="26" t="str">
        <f>výpočty!$W$3</f>
        <v>Czarny (E23)</v>
      </c>
      <c r="E354" t="s">
        <v>2129</v>
      </c>
      <c r="F354">
        <v>0</v>
      </c>
      <c r="G354" t="s">
        <v>2139</v>
      </c>
      <c r="H354" t="str">
        <f>VLOOKUP(A:A,výpočty!$R$14:$S$15,2,FALSE)</f>
        <v>H</v>
      </c>
      <c r="I354" t="str">
        <f>VLOOKUP(B:B,výpočty!$R$9:$S$11,2,FALSE)</f>
        <v>Y</v>
      </c>
      <c r="J354" t="str">
        <f>VLOOKUP(CHYBY!C:C,výpočty!$R$3:$S$7,2,FALSE)</f>
        <v>C</v>
      </c>
      <c r="K354">
        <f>VLOOKUP(D:D,výpočty!$W$3:$X$20,2,FALSE)</f>
        <v>1</v>
      </c>
      <c r="L354" t="str">
        <f t="shared" si="15"/>
        <v>HYC1</v>
      </c>
      <c r="M354" t="str">
        <f t="shared" si="16"/>
        <v/>
      </c>
      <c r="N354">
        <f t="shared" si="17"/>
        <v>0</v>
      </c>
    </row>
    <row r="355" spans="1:14" ht="13.8" x14ac:dyDescent="0.3">
      <c r="A355" s="255" t="str">
        <f>výpočty!$R$15</f>
        <v>Poziomy (z lewej strony na prawą)</v>
      </c>
      <c r="B355" s="256" t="str">
        <f>výpočty!$R$10</f>
        <v>Do ślimaka roletowego</v>
      </c>
      <c r="C355" t="str">
        <f>výpočty!$R$5</f>
        <v>Frame - nakładany z listwą maskującą</v>
      </c>
      <c r="D355" s="36" t="str">
        <f>výpočty!$W$4</f>
        <v>Biały (E23)</v>
      </c>
      <c r="E355" t="s">
        <v>2129</v>
      </c>
      <c r="F355">
        <v>0</v>
      </c>
      <c r="G355" t="s">
        <v>2139</v>
      </c>
      <c r="H355" t="str">
        <f>VLOOKUP(A:A,výpočty!$R$14:$S$15,2,FALSE)</f>
        <v>H</v>
      </c>
      <c r="I355" t="str">
        <f>VLOOKUP(B:B,výpočty!$R$9:$S$11,2,FALSE)</f>
        <v>Y</v>
      </c>
      <c r="J355" t="str">
        <f>VLOOKUP(CHYBY!C:C,výpočty!$R$3:$S$7,2,FALSE)</f>
        <v>C</v>
      </c>
      <c r="K355">
        <f>VLOOKUP(D:D,výpočty!$W$3:$X$20,2,FALSE)</f>
        <v>2</v>
      </c>
      <c r="L355" t="str">
        <f t="shared" si="15"/>
        <v>HYC2</v>
      </c>
      <c r="M355" t="str">
        <f t="shared" si="16"/>
        <v/>
      </c>
      <c r="N355">
        <f t="shared" si="17"/>
        <v>0</v>
      </c>
    </row>
    <row r="356" spans="1:14" ht="13.8" x14ac:dyDescent="0.3">
      <c r="A356" s="255" t="str">
        <f>výpočty!$R$15</f>
        <v>Poziomy (z lewej strony na prawą)</v>
      </c>
      <c r="B356" s="256" t="str">
        <f>výpočty!$R$10</f>
        <v>Do ślimaka roletowego</v>
      </c>
      <c r="C356" t="str">
        <f>výpočty!$R$5</f>
        <v>Frame - nakładany z listwą maskującą</v>
      </c>
      <c r="D356" s="36" t="str">
        <f>výpočty!$W$5</f>
        <v>Szary (E23)</v>
      </c>
      <c r="E356" t="s">
        <v>2129</v>
      </c>
      <c r="F356">
        <v>0</v>
      </c>
      <c r="G356" t="s">
        <v>2139</v>
      </c>
      <c r="H356" t="str">
        <f>VLOOKUP(A:A,výpočty!$R$14:$S$15,2,FALSE)</f>
        <v>H</v>
      </c>
      <c r="I356" t="str">
        <f>VLOOKUP(B:B,výpočty!$R$9:$S$11,2,FALSE)</f>
        <v>Y</v>
      </c>
      <c r="J356" t="str">
        <f>VLOOKUP(CHYBY!C:C,výpočty!$R$3:$S$7,2,FALSE)</f>
        <v>C</v>
      </c>
      <c r="K356">
        <f>VLOOKUP(D:D,výpočty!$W$3:$X$20,2,FALSE)</f>
        <v>3</v>
      </c>
      <c r="L356" t="str">
        <f t="shared" si="15"/>
        <v>HYC3</v>
      </c>
      <c r="M356" t="str">
        <f t="shared" si="16"/>
        <v/>
      </c>
      <c r="N356">
        <f t="shared" si="17"/>
        <v>0</v>
      </c>
    </row>
    <row r="357" spans="1:14" ht="13.8" x14ac:dyDescent="0.3">
      <c r="A357" s="255" t="str">
        <f>výpočty!$R$15</f>
        <v>Poziomy (z lewej strony na prawą)</v>
      </c>
      <c r="B357" s="256" t="str">
        <f>výpočty!$R$10</f>
        <v>Do ślimaka roletowego</v>
      </c>
      <c r="C357" t="str">
        <f>výpočty!$R$5</f>
        <v>Frame - nakładany z listwą maskującą</v>
      </c>
      <c r="D357" s="36" t="str">
        <f>výpočty!$W$6</f>
        <v>Aluminowa plastik (E23)</v>
      </c>
      <c r="E357" t="s">
        <v>2129</v>
      </c>
      <c r="F357">
        <v>0</v>
      </c>
      <c r="G357" t="s">
        <v>2139</v>
      </c>
      <c r="H357" t="str">
        <f>VLOOKUP(A:A,výpočty!$R$14:$S$15,2,FALSE)</f>
        <v>H</v>
      </c>
      <c r="I357" t="str">
        <f>VLOOKUP(B:B,výpočty!$R$9:$S$11,2,FALSE)</f>
        <v>Y</v>
      </c>
      <c r="J357" t="str">
        <f>VLOOKUP(CHYBY!C:C,výpočty!$R$3:$S$7,2,FALSE)</f>
        <v>C</v>
      </c>
      <c r="K357">
        <f>VLOOKUP(D:D,výpočty!$W$3:$X$20,2,FALSE)</f>
        <v>4</v>
      </c>
      <c r="L357" t="str">
        <f t="shared" si="15"/>
        <v>HYC4</v>
      </c>
      <c r="M357" t="str">
        <f t="shared" si="16"/>
        <v/>
      </c>
      <c r="N357">
        <f t="shared" si="17"/>
        <v>0</v>
      </c>
    </row>
    <row r="358" spans="1:14" ht="13.8" x14ac:dyDescent="0.3">
      <c r="A358" s="255" t="str">
        <f>výpočty!$R$15</f>
        <v>Poziomy (z lewej strony na prawą)</v>
      </c>
      <c r="B358" s="256" t="str">
        <f>výpočty!$R$10</f>
        <v>Do ślimaka roletowego</v>
      </c>
      <c r="C358" t="str">
        <f>výpočty!$R$5</f>
        <v>Frame - nakładany z listwą maskującą</v>
      </c>
      <c r="D358" s="36" t="str">
        <f>výpočty!$W$7</f>
        <v>Buk (E23)</v>
      </c>
      <c r="E358" t="s">
        <v>2130</v>
      </c>
      <c r="F358">
        <v>1</v>
      </c>
      <c r="G358" s="321" t="str">
        <f>Překlady!$A$145</f>
        <v>Koloru BUK w profilu E23 nie da się łączyć z prowadzeniem FRAME.</v>
      </c>
      <c r="H358" t="str">
        <f>VLOOKUP(A:A,výpočty!$R$14:$S$15,2,FALSE)</f>
        <v>H</v>
      </c>
      <c r="I358" t="str">
        <f>VLOOKUP(B:B,výpočty!$R$9:$S$11,2,FALSE)</f>
        <v>Y</v>
      </c>
      <c r="J358" t="str">
        <f>VLOOKUP(CHYBY!C:C,výpočty!$R$3:$S$7,2,FALSE)</f>
        <v>C</v>
      </c>
      <c r="K358">
        <f>VLOOKUP(D:D,výpočty!$W$3:$X$20,2,FALSE)</f>
        <v>5</v>
      </c>
      <c r="L358" t="str">
        <f t="shared" si="15"/>
        <v>HYC5</v>
      </c>
      <c r="M358" t="str">
        <f t="shared" si="16"/>
        <v>Koloru BUK w profilu E23 nie da się łączyć z prowadzeniem FRAME.</v>
      </c>
      <c r="N358">
        <f t="shared" si="17"/>
        <v>1</v>
      </c>
    </row>
    <row r="359" spans="1:14" ht="13.8" x14ac:dyDescent="0.3">
      <c r="A359" s="255" t="str">
        <f>výpočty!$R$15</f>
        <v>Poziomy (z lewej strony na prawą)</v>
      </c>
      <c r="B359" s="256" t="str">
        <f>výpočty!$R$10</f>
        <v>Do ślimaka roletowego</v>
      </c>
      <c r="C359" t="str">
        <f>výpočty!$R$5</f>
        <v>Frame - nakładany z listwą maskującą</v>
      </c>
      <c r="D359" s="36" t="str">
        <f>výpočty!$W$8</f>
        <v>Czereśnia (E23)</v>
      </c>
      <c r="E359" t="s">
        <v>2129</v>
      </c>
      <c r="F359">
        <v>1</v>
      </c>
      <c r="G359" t="str">
        <f>Překlady!$A$176</f>
        <v>Koloru Czereśnia w profilu E23 nie da się łączyć z prowadzeniem FRAME.</v>
      </c>
      <c r="H359" t="str">
        <f>VLOOKUP(A:A,výpočty!$R$14:$S$15,2,FALSE)</f>
        <v>H</v>
      </c>
      <c r="I359" t="str">
        <f>VLOOKUP(B:B,výpočty!$R$9:$S$11,2,FALSE)</f>
        <v>Y</v>
      </c>
      <c r="J359" t="str">
        <f>VLOOKUP(CHYBY!C:C,výpočty!$R$3:$S$7,2,FALSE)</f>
        <v>C</v>
      </c>
      <c r="K359">
        <f>VLOOKUP(D:D,výpočty!$W$3:$X$20,2,FALSE)</f>
        <v>6</v>
      </c>
      <c r="L359" t="str">
        <f t="shared" si="15"/>
        <v>HYC6</v>
      </c>
      <c r="M359" t="str">
        <f t="shared" si="16"/>
        <v>Koloru Czereśnia w profilu E23 nie da się łączyć z prowadzeniem FRAME.</v>
      </c>
      <c r="N359">
        <f t="shared" si="17"/>
        <v>1</v>
      </c>
    </row>
    <row r="360" spans="1:14" ht="13.8" x14ac:dyDescent="0.3">
      <c r="A360" s="255" t="str">
        <f>výpočty!$R$15</f>
        <v>Poziomy (z lewej strony na prawą)</v>
      </c>
      <c r="B360" s="256" t="str">
        <f>výpočty!$R$10</f>
        <v>Do ślimaka roletowego</v>
      </c>
      <c r="C360" t="str">
        <f>výpočty!$R$5</f>
        <v>Frame - nakładany z listwą maskującą</v>
      </c>
      <c r="D360" s="36" t="str">
        <f>výpočty!$W$9</f>
        <v>Klon (E23)</v>
      </c>
      <c r="E360" t="s">
        <v>2129</v>
      </c>
      <c r="F360">
        <v>1</v>
      </c>
      <c r="G360" t="str">
        <f>Překlady!$A$177</f>
        <v>Koloru Klon w profilu E23 nie da się łączyć z prowadzeniem FRAME.</v>
      </c>
      <c r="H360" t="str">
        <f>VLOOKUP(A:A,výpočty!$R$14:$S$15,2,FALSE)</f>
        <v>H</v>
      </c>
      <c r="I360" t="str">
        <f>VLOOKUP(B:B,výpočty!$R$9:$S$11,2,FALSE)</f>
        <v>Y</v>
      </c>
      <c r="J360" t="str">
        <f>VLOOKUP(CHYBY!C:C,výpočty!$R$3:$S$7,2,FALSE)</f>
        <v>C</v>
      </c>
      <c r="K360">
        <f>VLOOKUP(D:D,výpočty!$W$3:$X$20,2,FALSE)</f>
        <v>7</v>
      </c>
      <c r="L360" t="str">
        <f t="shared" si="15"/>
        <v>HYC7</v>
      </c>
      <c r="M360" t="str">
        <f t="shared" si="16"/>
        <v>Koloru Klon w profilu E23 nie da się łączyć z prowadzeniem FRAME.</v>
      </c>
      <c r="N360">
        <f t="shared" si="17"/>
        <v>1</v>
      </c>
    </row>
    <row r="361" spans="1:14" ht="13.8" x14ac:dyDescent="0.3">
      <c r="A361" s="255" t="str">
        <f>výpočty!$R$15</f>
        <v>Poziomy (z lewej strony na prawą)</v>
      </c>
      <c r="B361" s="256" t="str">
        <f>výpočty!$R$10</f>
        <v>Do ślimaka roletowego</v>
      </c>
      <c r="C361" t="str">
        <f>výpočty!$R$5</f>
        <v>Frame - nakładany z listwą maskującą</v>
      </c>
      <c r="D361" s="36" t="str">
        <f>výpočty!$W$10</f>
        <v>Brzoza (E23)</v>
      </c>
      <c r="E361" t="s">
        <v>2129</v>
      </c>
      <c r="F361">
        <v>1</v>
      </c>
      <c r="G361" t="str">
        <f>Překlady!$A$175</f>
        <v>Koloru Brzoza w profilu E23 nie da się łączyć z prowadzeniem FRAME.</v>
      </c>
      <c r="H361" t="str">
        <f>VLOOKUP(A:A,výpočty!$R$14:$S$15,2,FALSE)</f>
        <v>H</v>
      </c>
      <c r="I361" t="str">
        <f>VLOOKUP(B:B,výpočty!$R$9:$S$11,2,FALSE)</f>
        <v>Y</v>
      </c>
      <c r="J361" t="str">
        <f>VLOOKUP(CHYBY!C:C,výpočty!$R$3:$S$7,2,FALSE)</f>
        <v>C</v>
      </c>
      <c r="K361">
        <f>VLOOKUP(D:D,výpočty!$W$3:$X$20,2,FALSE)</f>
        <v>8</v>
      </c>
      <c r="L361" t="str">
        <f t="shared" si="15"/>
        <v>HYC8</v>
      </c>
      <c r="M361" t="str">
        <f t="shared" si="16"/>
        <v>Koloru Brzoza w profilu E23 nie da się łączyć z prowadzeniem FRAME.</v>
      </c>
      <c r="N361">
        <f t="shared" si="17"/>
        <v>1</v>
      </c>
    </row>
    <row r="362" spans="1:14" ht="13.8" x14ac:dyDescent="0.3">
      <c r="A362" s="255" t="str">
        <f>výpočty!$R$15</f>
        <v>Poziomy (z lewej strony na prawą)</v>
      </c>
      <c r="B362" s="256" t="str">
        <f>výpočty!$R$10</f>
        <v>Do ślimaka roletowego</v>
      </c>
      <c r="C362" t="str">
        <f>výpočty!$R$5</f>
        <v>Frame - nakładany z listwą maskującą</v>
      </c>
      <c r="D362" s="36" t="str">
        <f>výpočty!$W$11</f>
        <v>Czereśnia havana (E23)</v>
      </c>
      <c r="E362" t="s">
        <v>2129</v>
      </c>
      <c r="F362">
        <v>1</v>
      </c>
      <c r="G362" t="str">
        <f>Překlady!$A$170</f>
        <v>Koloru Czereśnia havana w profilu E23 nie da się łączyć z prowadzeniem FRAME.</v>
      </c>
      <c r="H362" t="str">
        <f>VLOOKUP(A:A,výpočty!$R$14:$S$15,2,FALSE)</f>
        <v>H</v>
      </c>
      <c r="I362" t="str">
        <f>VLOOKUP(B:B,výpočty!$R$9:$S$11,2,FALSE)</f>
        <v>Y</v>
      </c>
      <c r="J362" t="str">
        <f>VLOOKUP(CHYBY!C:C,výpočty!$R$3:$S$7,2,FALSE)</f>
        <v>C</v>
      </c>
      <c r="K362">
        <f>VLOOKUP(D:D,výpočty!$W$3:$X$20,2,FALSE)</f>
        <v>9</v>
      </c>
      <c r="L362" t="str">
        <f t="shared" si="15"/>
        <v>HYC9</v>
      </c>
      <c r="M362" t="str">
        <f t="shared" si="16"/>
        <v>Koloru Czereśnia havana w profilu E23 nie da się łączyć z prowadzeniem FRAME.</v>
      </c>
      <c r="N362">
        <f t="shared" si="17"/>
        <v>1</v>
      </c>
    </row>
    <row r="363" spans="1:14" ht="13.8" x14ac:dyDescent="0.3">
      <c r="A363" s="255" t="str">
        <f>výpočty!$R$15</f>
        <v>Poziomy (z lewej strony na prawą)</v>
      </c>
      <c r="B363" s="256" t="str">
        <f>výpočty!$R$10</f>
        <v>Do ślimaka roletowego</v>
      </c>
      <c r="C363" t="str">
        <f>výpočty!$R$5</f>
        <v>Frame - nakładany z listwą maskującą</v>
      </c>
      <c r="D363" s="36" t="str">
        <f>výpočty!$W$12</f>
        <v>Calvados (E23)</v>
      </c>
      <c r="E363" t="s">
        <v>2129</v>
      </c>
      <c r="F363">
        <v>0</v>
      </c>
      <c r="G363" t="s">
        <v>2139</v>
      </c>
      <c r="H363" t="str">
        <f>VLOOKUP(A:A,výpočty!$R$14:$S$15,2,FALSE)</f>
        <v>H</v>
      </c>
      <c r="I363" t="str">
        <f>VLOOKUP(B:B,výpočty!$R$9:$S$11,2,FALSE)</f>
        <v>Y</v>
      </c>
      <c r="J363" t="str">
        <f>VLOOKUP(CHYBY!C:C,výpočty!$R$3:$S$7,2,FALSE)</f>
        <v>C</v>
      </c>
      <c r="K363">
        <f>VLOOKUP(D:D,výpočty!$W$3:$X$20,2,FALSE)</f>
        <v>10</v>
      </c>
      <c r="L363" t="str">
        <f t="shared" si="15"/>
        <v>HYC10</v>
      </c>
      <c r="M363" t="str">
        <f t="shared" si="16"/>
        <v/>
      </c>
      <c r="N363">
        <f t="shared" si="17"/>
        <v>0</v>
      </c>
    </row>
    <row r="364" spans="1:14" ht="13.8" x14ac:dyDescent="0.3">
      <c r="A364" s="255" t="str">
        <f>výpočty!$R$15</f>
        <v>Poziomy (z lewej strony na prawą)</v>
      </c>
      <c r="B364" s="256" t="str">
        <f>výpočty!$R$10</f>
        <v>Do ślimaka roletowego</v>
      </c>
      <c r="C364" t="str">
        <f>výpočty!$R$5</f>
        <v>Frame - nakładany z listwą maskującą</v>
      </c>
      <c r="D364" s="36" t="str">
        <f>výpočty!$W$14</f>
        <v>śnieżno biala mat (E9)</v>
      </c>
      <c r="E364" s="321" t="s">
        <v>2130</v>
      </c>
      <c r="F364" s="321">
        <v>1</v>
      </c>
      <c r="G364" s="321" t="str">
        <f>Překlady!$A$142</f>
        <v>Kolor śnieżno biały w profilu E9 można łączyć jedynie z prowadzeniem Classic i systemem nawijania do tyłu</v>
      </c>
      <c r="H364" t="str">
        <f>VLOOKUP(A:A,výpočty!$R$14:$S$15,2,FALSE)</f>
        <v>H</v>
      </c>
      <c r="I364" t="str">
        <f>VLOOKUP(B:B,výpočty!$R$9:$S$11,2,FALSE)</f>
        <v>Y</v>
      </c>
      <c r="J364" t="str">
        <f>VLOOKUP(CHYBY!C:C,výpočty!$R$3:$S$7,2,FALSE)</f>
        <v>C</v>
      </c>
      <c r="K364">
        <f>VLOOKUP(D:D,výpočty!$W$3:$X$20,2,FALSE)</f>
        <v>12</v>
      </c>
      <c r="L364" t="str">
        <f t="shared" si="15"/>
        <v>HYC12</v>
      </c>
      <c r="M364" t="str">
        <f t="shared" si="16"/>
        <v>Kolor śnieżno biały w profilu E9 można łączyć jedynie z prowadzeniem Classic i systemem nawijania do tyłu</v>
      </c>
      <c r="N364">
        <f t="shared" si="17"/>
        <v>1</v>
      </c>
    </row>
    <row r="365" spans="1:14" ht="13.8" x14ac:dyDescent="0.3">
      <c r="A365" s="255" t="str">
        <f>výpočty!$R$15</f>
        <v>Poziomy (z lewej strony na prawą)</v>
      </c>
      <c r="B365" s="256" t="str">
        <f>výpočty!$R$10</f>
        <v>Do ślimaka roletowego</v>
      </c>
      <c r="C365" t="str">
        <f>výpočty!$R$5</f>
        <v>Frame - nakładany z listwą maskującą</v>
      </c>
      <c r="D365" s="36" t="str">
        <f>výpočty!$W$15</f>
        <v>Aluminowa plastik (E4)</v>
      </c>
      <c r="E365" t="s">
        <v>2130</v>
      </c>
      <c r="F365">
        <v>1</v>
      </c>
      <c r="G365" s="321" t="str">
        <f>Překlady!$A$143</f>
        <v>Kolor aluminium plastik w profilu E4 jest idealny do poziomych rozwiązań w kombinacji z prowadzeniem Classic z systemem nawijania do tyłu</v>
      </c>
      <c r="H365" t="str">
        <f>VLOOKUP(A:A,výpočty!$R$14:$S$15,2,FALSE)</f>
        <v>H</v>
      </c>
      <c r="I365" t="str">
        <f>VLOOKUP(B:B,výpočty!$R$9:$S$11,2,FALSE)</f>
        <v>Y</v>
      </c>
      <c r="J365" t="str">
        <f>VLOOKUP(CHYBY!C:C,výpočty!$R$3:$S$7,2,FALSE)</f>
        <v>C</v>
      </c>
      <c r="K365">
        <f>VLOOKUP(D:D,výpočty!$W$3:$X$20,2,FALSE)</f>
        <v>13</v>
      </c>
      <c r="L365" t="str">
        <f t="shared" si="15"/>
        <v>HYC13</v>
      </c>
      <c r="M365" t="str">
        <f t="shared" si="16"/>
        <v>Kolor aluminium plastik w profilu E4 jest idealny do poziomych rozwiązań w kombinacji z prowadzeniem Classic z systemem nawijania do tyłu</v>
      </c>
      <c r="N365">
        <f t="shared" si="17"/>
        <v>1</v>
      </c>
    </row>
    <row r="366" spans="1:14" ht="13.8" x14ac:dyDescent="0.3">
      <c r="A366" s="255" t="str">
        <f>výpočty!$R$15</f>
        <v>Poziomy (z lewej strony na prawą)</v>
      </c>
      <c r="B366" s="256" t="str">
        <f>výpočty!$R$10</f>
        <v>Do ślimaka roletowego</v>
      </c>
      <c r="C366" t="str">
        <f>výpočty!$R$5</f>
        <v>Frame - nakładany z listwą maskującą</v>
      </c>
      <c r="D366" s="36">
        <f>výpočty!$W$17</f>
        <v>0</v>
      </c>
      <c r="E366" t="s">
        <v>2129</v>
      </c>
      <c r="F366">
        <v>0</v>
      </c>
      <c r="G366" t="s">
        <v>2139</v>
      </c>
      <c r="H366" t="str">
        <f>VLOOKUP(A:A,výpočty!$R$14:$S$15,2,FALSE)</f>
        <v>H</v>
      </c>
      <c r="I366" t="str">
        <f>VLOOKUP(B:B,výpočty!$R$9:$S$11,2,FALSE)</f>
        <v>Y</v>
      </c>
      <c r="J366" t="str">
        <f>VLOOKUP(CHYBY!C:C,výpočty!$R$3:$S$7,2,FALSE)</f>
        <v>C</v>
      </c>
      <c r="K366" t="e">
        <f>VLOOKUP(D:D,výpočty!$W$3:$X$20,2,FALSE)</f>
        <v>#N/A</v>
      </c>
      <c r="L366" t="e">
        <f t="shared" si="15"/>
        <v>#N/A</v>
      </c>
      <c r="M366" t="str">
        <f t="shared" si="16"/>
        <v/>
      </c>
      <c r="N366">
        <f t="shared" si="17"/>
        <v>0</v>
      </c>
    </row>
    <row r="367" spans="1:14" ht="13.8" x14ac:dyDescent="0.3">
      <c r="A367" s="255" t="str">
        <f>výpočty!$R$15</f>
        <v>Poziomy (z lewej strony na prawą)</v>
      </c>
      <c r="B367" s="256" t="str">
        <f>výpočty!$R$10</f>
        <v>Do ślimaka roletowego</v>
      </c>
      <c r="C367" t="str">
        <f>výpočty!$R$5</f>
        <v>Frame - nakładany z listwą maskującą</v>
      </c>
      <c r="D367" s="36">
        <f>výpočty!$W$18</f>
        <v>0</v>
      </c>
      <c r="E367" t="s">
        <v>2129</v>
      </c>
      <c r="F367">
        <v>0</v>
      </c>
      <c r="G367" t="s">
        <v>2139</v>
      </c>
      <c r="H367" t="str">
        <f>VLOOKUP(A:A,výpočty!$R$14:$S$15,2,FALSE)</f>
        <v>H</v>
      </c>
      <c r="I367" t="str">
        <f>VLOOKUP(B:B,výpočty!$R$9:$S$11,2,FALSE)</f>
        <v>Y</v>
      </c>
      <c r="J367" t="str">
        <f>VLOOKUP(CHYBY!C:C,výpočty!$R$3:$S$7,2,FALSE)</f>
        <v>C</v>
      </c>
      <c r="K367" t="e">
        <f>VLOOKUP(D:D,výpočty!$W$3:$X$20,2,FALSE)</f>
        <v>#N/A</v>
      </c>
      <c r="L367" t="e">
        <f t="shared" si="15"/>
        <v>#N/A</v>
      </c>
      <c r="M367" t="str">
        <f t="shared" si="16"/>
        <v/>
      </c>
      <c r="N367">
        <f t="shared" si="17"/>
        <v>0</v>
      </c>
    </row>
    <row r="368" spans="1:14" ht="13.8" x14ac:dyDescent="0.3">
      <c r="A368" s="255" t="str">
        <f>výpočty!$R$15</f>
        <v>Poziomy (z lewej strony na prawą)</v>
      </c>
      <c r="B368" s="256" t="str">
        <f>výpočty!$R$10</f>
        <v>Do ślimaka roletowego</v>
      </c>
      <c r="C368" t="str">
        <f>výpočty!$R$5</f>
        <v>Frame - nakładany z listwą maskującą</v>
      </c>
      <c r="D368" s="36" t="str">
        <f>výpočty!$W$19</f>
        <v>Aluminium szerokość 25 mm (metallic-line)</v>
      </c>
      <c r="E368" t="s">
        <v>2129</v>
      </c>
      <c r="F368">
        <v>0</v>
      </c>
      <c r="G368" t="s">
        <v>2139</v>
      </c>
      <c r="H368" t="str">
        <f>VLOOKUP(A:A,výpočty!$R$14:$S$15,2,FALSE)</f>
        <v>H</v>
      </c>
      <c r="I368" t="str">
        <f>VLOOKUP(B:B,výpočty!$R$9:$S$11,2,FALSE)</f>
        <v>Y</v>
      </c>
      <c r="J368" t="str">
        <f>VLOOKUP(CHYBY!C:C,výpočty!$R$3:$S$7,2,FALSE)</f>
        <v>C</v>
      </c>
      <c r="K368">
        <f>VLOOKUP(D:D,výpočty!$W$3:$X$20,2,FALSE)</f>
        <v>17</v>
      </c>
      <c r="L368" t="str">
        <f t="shared" si="15"/>
        <v>HYC17</v>
      </c>
      <c r="M368" t="str">
        <f t="shared" si="16"/>
        <v/>
      </c>
      <c r="N368">
        <f t="shared" si="17"/>
        <v>0</v>
      </c>
    </row>
    <row r="369" spans="1:14" ht="14.4" thickBot="1" x14ac:dyDescent="0.35">
      <c r="A369" s="255" t="str">
        <f>výpočty!$R$15</f>
        <v>Poziomy (z lewej strony na prawą)</v>
      </c>
      <c r="B369" s="256" t="str">
        <f>výpočty!$R$10</f>
        <v>Do ślimaka roletowego</v>
      </c>
      <c r="C369" t="str">
        <f>výpočty!$R$5</f>
        <v>Frame - nakładany z listwą maskującą</v>
      </c>
      <c r="D369" s="27" t="str">
        <f>výpočty!$W$20</f>
        <v>Nierdz. szerokość 25 mm (metallic-line)</v>
      </c>
      <c r="E369" t="s">
        <v>2129</v>
      </c>
      <c r="F369">
        <v>0</v>
      </c>
      <c r="G369" t="s">
        <v>2139</v>
      </c>
      <c r="H369" t="str">
        <f>VLOOKUP(A:A,výpočty!$R$14:$S$15,2,FALSE)</f>
        <v>H</v>
      </c>
      <c r="I369" t="str">
        <f>VLOOKUP(B:B,výpočty!$R$9:$S$11,2,FALSE)</f>
        <v>Y</v>
      </c>
      <c r="J369" t="str">
        <f>VLOOKUP(CHYBY!C:C,výpočty!$R$3:$S$7,2,FALSE)</f>
        <v>C</v>
      </c>
      <c r="K369">
        <f>VLOOKUP(D:D,výpočty!$W$3:$X$20,2,FALSE)</f>
        <v>18</v>
      </c>
      <c r="L369" t="str">
        <f t="shared" si="15"/>
        <v>HYC18</v>
      </c>
      <c r="M369" t="str">
        <f t="shared" si="16"/>
        <v/>
      </c>
      <c r="N369">
        <f t="shared" si="17"/>
        <v>0</v>
      </c>
    </row>
    <row r="370" spans="1:14" ht="13.8" x14ac:dyDescent="0.3">
      <c r="A370" s="255" t="str">
        <f>výpočty!$R$15</f>
        <v>Poziomy (z lewej strony na prawą)</v>
      </c>
      <c r="B370" s="256" t="str">
        <f>výpočty!$R$10</f>
        <v>Do ślimaka roletowego</v>
      </c>
      <c r="C370" t="str">
        <f>výpočty!$R$6</f>
        <v>TOP - wpuszczany do przykręcenia metalowy z listwą maskującą</v>
      </c>
      <c r="D370" s="26" t="str">
        <f>výpočty!$W$3</f>
        <v>Czarny (E23)</v>
      </c>
      <c r="E370" t="s">
        <v>2129</v>
      </c>
      <c r="F370">
        <v>0</v>
      </c>
      <c r="G370" t="s">
        <v>2139</v>
      </c>
      <c r="H370" t="str">
        <f>VLOOKUP(A:A,výpočty!$R$14:$S$15,2,FALSE)</f>
        <v>H</v>
      </c>
      <c r="I370" t="str">
        <f>VLOOKUP(B:B,výpočty!$R$9:$S$11,2,FALSE)</f>
        <v>Y</v>
      </c>
      <c r="J370" t="str">
        <f>VLOOKUP(CHYBY!C:C,výpočty!$R$3:$S$7,2,FALSE)</f>
        <v>D</v>
      </c>
      <c r="K370">
        <f>VLOOKUP(D:D,výpočty!$W$3:$X$20,2,FALSE)</f>
        <v>1</v>
      </c>
      <c r="L370" t="str">
        <f t="shared" si="15"/>
        <v>HYD1</v>
      </c>
      <c r="M370" t="str">
        <f t="shared" si="16"/>
        <v/>
      </c>
      <c r="N370">
        <f t="shared" si="17"/>
        <v>0</v>
      </c>
    </row>
    <row r="371" spans="1:14" ht="13.8" x14ac:dyDescent="0.3">
      <c r="A371" s="255" t="str">
        <f>výpočty!$R$15</f>
        <v>Poziomy (z lewej strony na prawą)</v>
      </c>
      <c r="B371" s="256" t="str">
        <f>výpočty!$R$10</f>
        <v>Do ślimaka roletowego</v>
      </c>
      <c r="C371" t="str">
        <f>výpočty!$R$6</f>
        <v>TOP - wpuszczany do przykręcenia metalowy z listwą maskującą</v>
      </c>
      <c r="D371" s="36" t="str">
        <f>výpočty!$W$4</f>
        <v>Biały (E23)</v>
      </c>
      <c r="E371" t="s">
        <v>2129</v>
      </c>
      <c r="F371">
        <v>0</v>
      </c>
      <c r="G371" t="s">
        <v>2139</v>
      </c>
      <c r="H371" t="str">
        <f>VLOOKUP(A:A,výpočty!$R$14:$S$15,2,FALSE)</f>
        <v>H</v>
      </c>
      <c r="I371" t="str">
        <f>VLOOKUP(B:B,výpočty!$R$9:$S$11,2,FALSE)</f>
        <v>Y</v>
      </c>
      <c r="J371" t="str">
        <f>VLOOKUP(CHYBY!C:C,výpočty!$R$3:$S$7,2,FALSE)</f>
        <v>D</v>
      </c>
      <c r="K371">
        <f>VLOOKUP(D:D,výpočty!$W$3:$X$20,2,FALSE)</f>
        <v>2</v>
      </c>
      <c r="L371" t="str">
        <f t="shared" si="15"/>
        <v>HYD2</v>
      </c>
      <c r="M371" t="str">
        <f t="shared" si="16"/>
        <v/>
      </c>
      <c r="N371">
        <f t="shared" si="17"/>
        <v>0</v>
      </c>
    </row>
    <row r="372" spans="1:14" ht="13.8" x14ac:dyDescent="0.3">
      <c r="A372" s="255" t="str">
        <f>výpočty!$R$15</f>
        <v>Poziomy (z lewej strony na prawą)</v>
      </c>
      <c r="B372" s="256" t="str">
        <f>výpočty!$R$10</f>
        <v>Do ślimaka roletowego</v>
      </c>
      <c r="C372" t="str">
        <f>výpočty!$R$6</f>
        <v>TOP - wpuszczany do przykręcenia metalowy z listwą maskującą</v>
      </c>
      <c r="D372" s="36" t="str">
        <f>výpočty!$W$5</f>
        <v>Szary (E23)</v>
      </c>
      <c r="E372" t="s">
        <v>2129</v>
      </c>
      <c r="F372">
        <v>0</v>
      </c>
      <c r="G372" t="s">
        <v>2139</v>
      </c>
      <c r="H372" t="str">
        <f>VLOOKUP(A:A,výpočty!$R$14:$S$15,2,FALSE)</f>
        <v>H</v>
      </c>
      <c r="I372" t="str">
        <f>VLOOKUP(B:B,výpočty!$R$9:$S$11,2,FALSE)</f>
        <v>Y</v>
      </c>
      <c r="J372" t="str">
        <f>VLOOKUP(CHYBY!C:C,výpočty!$R$3:$S$7,2,FALSE)</f>
        <v>D</v>
      </c>
      <c r="K372">
        <f>VLOOKUP(D:D,výpočty!$W$3:$X$20,2,FALSE)</f>
        <v>3</v>
      </c>
      <c r="L372" t="str">
        <f t="shared" si="15"/>
        <v>HYD3</v>
      </c>
      <c r="M372" t="str">
        <f t="shared" si="16"/>
        <v/>
      </c>
      <c r="N372">
        <f t="shared" si="17"/>
        <v>0</v>
      </c>
    </row>
    <row r="373" spans="1:14" ht="13.8" x14ac:dyDescent="0.3">
      <c r="A373" s="255" t="str">
        <f>výpočty!$R$15</f>
        <v>Poziomy (z lewej strony na prawą)</v>
      </c>
      <c r="B373" s="256" t="str">
        <f>výpočty!$R$10</f>
        <v>Do ślimaka roletowego</v>
      </c>
      <c r="C373" t="str">
        <f>výpočty!$R$6</f>
        <v>TOP - wpuszczany do przykręcenia metalowy z listwą maskującą</v>
      </c>
      <c r="D373" s="36" t="str">
        <f>výpočty!$W$6</f>
        <v>Aluminowa plastik (E23)</v>
      </c>
      <c r="E373" t="s">
        <v>2129</v>
      </c>
      <c r="F373">
        <v>0</v>
      </c>
      <c r="G373" t="s">
        <v>2139</v>
      </c>
      <c r="H373" t="str">
        <f>VLOOKUP(A:A,výpočty!$R$14:$S$15,2,FALSE)</f>
        <v>H</v>
      </c>
      <c r="I373" t="str">
        <f>VLOOKUP(B:B,výpočty!$R$9:$S$11,2,FALSE)</f>
        <v>Y</v>
      </c>
      <c r="J373" t="str">
        <f>VLOOKUP(CHYBY!C:C,výpočty!$R$3:$S$7,2,FALSE)</f>
        <v>D</v>
      </c>
      <c r="K373">
        <f>VLOOKUP(D:D,výpočty!$W$3:$X$20,2,FALSE)</f>
        <v>4</v>
      </c>
      <c r="L373" t="str">
        <f t="shared" si="15"/>
        <v>HYD4</v>
      </c>
      <c r="M373" t="str">
        <f t="shared" si="16"/>
        <v/>
      </c>
      <c r="N373">
        <f t="shared" si="17"/>
        <v>0</v>
      </c>
    </row>
    <row r="374" spans="1:14" ht="13.8" x14ac:dyDescent="0.3">
      <c r="A374" s="255" t="str">
        <f>výpočty!$R$15</f>
        <v>Poziomy (z lewej strony na prawą)</v>
      </c>
      <c r="B374" s="256" t="str">
        <f>výpočty!$R$10</f>
        <v>Do ślimaka roletowego</v>
      </c>
      <c r="C374" t="str">
        <f>výpočty!$R$6</f>
        <v>TOP - wpuszczany do przykręcenia metalowy z listwą maskującą</v>
      </c>
      <c r="D374" s="36" t="str">
        <f>výpočty!$W$7</f>
        <v>Buk (E23)</v>
      </c>
      <c r="E374" t="s">
        <v>2129</v>
      </c>
      <c r="F374">
        <v>0</v>
      </c>
      <c r="G374" t="s">
        <v>2139</v>
      </c>
      <c r="H374" t="str">
        <f>VLOOKUP(A:A,výpočty!$R$14:$S$15,2,FALSE)</f>
        <v>H</v>
      </c>
      <c r="I374" t="str">
        <f>VLOOKUP(B:B,výpočty!$R$9:$S$11,2,FALSE)</f>
        <v>Y</v>
      </c>
      <c r="J374" t="str">
        <f>VLOOKUP(CHYBY!C:C,výpočty!$R$3:$S$7,2,FALSE)</f>
        <v>D</v>
      </c>
      <c r="K374">
        <f>VLOOKUP(D:D,výpočty!$W$3:$X$20,2,FALSE)</f>
        <v>5</v>
      </c>
      <c r="L374" t="str">
        <f t="shared" si="15"/>
        <v>HYD5</v>
      </c>
      <c r="M374" t="str">
        <f t="shared" si="16"/>
        <v/>
      </c>
      <c r="N374">
        <f t="shared" si="17"/>
        <v>0</v>
      </c>
    </row>
    <row r="375" spans="1:14" ht="13.8" x14ac:dyDescent="0.3">
      <c r="A375" s="255" t="str">
        <f>výpočty!$R$15</f>
        <v>Poziomy (z lewej strony na prawą)</v>
      </c>
      <c r="B375" s="256" t="str">
        <f>výpočty!$R$10</f>
        <v>Do ślimaka roletowego</v>
      </c>
      <c r="C375" t="str">
        <f>výpočty!$R$6</f>
        <v>TOP - wpuszczany do przykręcenia metalowy z listwą maskującą</v>
      </c>
      <c r="D375" s="36" t="str">
        <f>výpočty!$W$8</f>
        <v>Czereśnia (E23)</v>
      </c>
      <c r="E375" t="s">
        <v>2129</v>
      </c>
      <c r="F375">
        <v>0</v>
      </c>
      <c r="G375" t="s">
        <v>2139</v>
      </c>
      <c r="H375" t="str">
        <f>VLOOKUP(A:A,výpočty!$R$14:$S$15,2,FALSE)</f>
        <v>H</v>
      </c>
      <c r="I375" t="str">
        <f>VLOOKUP(B:B,výpočty!$R$9:$S$11,2,FALSE)</f>
        <v>Y</v>
      </c>
      <c r="J375" t="str">
        <f>VLOOKUP(CHYBY!C:C,výpočty!$R$3:$S$7,2,FALSE)</f>
        <v>D</v>
      </c>
      <c r="K375">
        <f>VLOOKUP(D:D,výpočty!$W$3:$X$20,2,FALSE)</f>
        <v>6</v>
      </c>
      <c r="L375" t="str">
        <f t="shared" si="15"/>
        <v>HYD6</v>
      </c>
      <c r="M375" t="str">
        <f t="shared" si="16"/>
        <v/>
      </c>
      <c r="N375">
        <f t="shared" si="17"/>
        <v>0</v>
      </c>
    </row>
    <row r="376" spans="1:14" ht="13.8" x14ac:dyDescent="0.3">
      <c r="A376" s="255" t="str">
        <f>výpočty!$R$15</f>
        <v>Poziomy (z lewej strony na prawą)</v>
      </c>
      <c r="B376" s="256" t="str">
        <f>výpočty!$R$10</f>
        <v>Do ślimaka roletowego</v>
      </c>
      <c r="C376" t="str">
        <f>výpočty!$R$6</f>
        <v>TOP - wpuszczany do przykręcenia metalowy z listwą maskującą</v>
      </c>
      <c r="D376" s="36" t="str">
        <f>výpočty!$W$9</f>
        <v>Klon (E23)</v>
      </c>
      <c r="E376" t="s">
        <v>2129</v>
      </c>
      <c r="F376">
        <v>0</v>
      </c>
      <c r="G376" t="s">
        <v>2139</v>
      </c>
      <c r="H376" t="str">
        <f>VLOOKUP(A:A,výpočty!$R$14:$S$15,2,FALSE)</f>
        <v>H</v>
      </c>
      <c r="I376" t="str">
        <f>VLOOKUP(B:B,výpočty!$R$9:$S$11,2,FALSE)</f>
        <v>Y</v>
      </c>
      <c r="J376" t="str">
        <f>VLOOKUP(CHYBY!C:C,výpočty!$R$3:$S$7,2,FALSE)</f>
        <v>D</v>
      </c>
      <c r="K376">
        <f>VLOOKUP(D:D,výpočty!$W$3:$X$20,2,FALSE)</f>
        <v>7</v>
      </c>
      <c r="L376" t="str">
        <f t="shared" si="15"/>
        <v>HYD7</v>
      </c>
      <c r="M376" t="str">
        <f t="shared" si="16"/>
        <v/>
      </c>
      <c r="N376">
        <f t="shared" si="17"/>
        <v>0</v>
      </c>
    </row>
    <row r="377" spans="1:14" ht="13.8" x14ac:dyDescent="0.3">
      <c r="A377" s="255" t="str">
        <f>výpočty!$R$15</f>
        <v>Poziomy (z lewej strony na prawą)</v>
      </c>
      <c r="B377" s="256" t="str">
        <f>výpočty!$R$10</f>
        <v>Do ślimaka roletowego</v>
      </c>
      <c r="C377" t="str">
        <f>výpočty!$R$6</f>
        <v>TOP - wpuszczany do przykręcenia metalowy z listwą maskującą</v>
      </c>
      <c r="D377" s="36" t="str">
        <f>výpočty!$W$10</f>
        <v>Brzoza (E23)</v>
      </c>
      <c r="E377" t="s">
        <v>2129</v>
      </c>
      <c r="F377">
        <v>0</v>
      </c>
      <c r="G377" t="s">
        <v>2139</v>
      </c>
      <c r="H377" t="str">
        <f>VLOOKUP(A:A,výpočty!$R$14:$S$15,2,FALSE)</f>
        <v>H</v>
      </c>
      <c r="I377" t="str">
        <f>VLOOKUP(B:B,výpočty!$R$9:$S$11,2,FALSE)</f>
        <v>Y</v>
      </c>
      <c r="J377" t="str">
        <f>VLOOKUP(CHYBY!C:C,výpočty!$R$3:$S$7,2,FALSE)</f>
        <v>D</v>
      </c>
      <c r="K377">
        <f>VLOOKUP(D:D,výpočty!$W$3:$X$20,2,FALSE)</f>
        <v>8</v>
      </c>
      <c r="L377" t="str">
        <f t="shared" si="15"/>
        <v>HYD8</v>
      </c>
      <c r="M377" t="str">
        <f t="shared" si="16"/>
        <v/>
      </c>
      <c r="N377">
        <f t="shared" si="17"/>
        <v>0</v>
      </c>
    </row>
    <row r="378" spans="1:14" ht="13.8" x14ac:dyDescent="0.3">
      <c r="A378" s="255" t="str">
        <f>výpočty!$R$15</f>
        <v>Poziomy (z lewej strony na prawą)</v>
      </c>
      <c r="B378" s="256" t="str">
        <f>výpočty!$R$10</f>
        <v>Do ślimaka roletowego</v>
      </c>
      <c r="C378" t="str">
        <f>výpočty!$R$6</f>
        <v>TOP - wpuszczany do przykręcenia metalowy z listwą maskującą</v>
      </c>
      <c r="D378" s="36" t="str">
        <f>výpočty!$W$11</f>
        <v>Czereśnia havana (E23)</v>
      </c>
      <c r="E378" t="s">
        <v>2129</v>
      </c>
      <c r="F378">
        <v>0</v>
      </c>
      <c r="G378" t="s">
        <v>2139</v>
      </c>
      <c r="H378" t="str">
        <f>VLOOKUP(A:A,výpočty!$R$14:$S$15,2,FALSE)</f>
        <v>H</v>
      </c>
      <c r="I378" t="str">
        <f>VLOOKUP(B:B,výpočty!$R$9:$S$11,2,FALSE)</f>
        <v>Y</v>
      </c>
      <c r="J378" t="str">
        <f>VLOOKUP(CHYBY!C:C,výpočty!$R$3:$S$7,2,FALSE)</f>
        <v>D</v>
      </c>
      <c r="K378">
        <f>VLOOKUP(D:D,výpočty!$W$3:$X$20,2,FALSE)</f>
        <v>9</v>
      </c>
      <c r="L378" t="str">
        <f t="shared" si="15"/>
        <v>HYD9</v>
      </c>
      <c r="M378" t="str">
        <f t="shared" si="16"/>
        <v/>
      </c>
      <c r="N378">
        <f t="shared" si="17"/>
        <v>0</v>
      </c>
    </row>
    <row r="379" spans="1:14" ht="13.8" x14ac:dyDescent="0.3">
      <c r="A379" s="255" t="str">
        <f>výpočty!$R$15</f>
        <v>Poziomy (z lewej strony na prawą)</v>
      </c>
      <c r="B379" s="256" t="str">
        <f>výpočty!$R$10</f>
        <v>Do ślimaka roletowego</v>
      </c>
      <c r="C379" t="str">
        <f>výpočty!$R$6</f>
        <v>TOP - wpuszczany do przykręcenia metalowy z listwą maskującą</v>
      </c>
      <c r="D379" s="36" t="str">
        <f>výpočty!$W$12</f>
        <v>Calvados (E23)</v>
      </c>
      <c r="E379" t="s">
        <v>2129</v>
      </c>
      <c r="F379">
        <v>0</v>
      </c>
      <c r="G379" t="s">
        <v>2139</v>
      </c>
      <c r="H379" t="str">
        <f>VLOOKUP(A:A,výpočty!$R$14:$S$15,2,FALSE)</f>
        <v>H</v>
      </c>
      <c r="I379" t="str">
        <f>VLOOKUP(B:B,výpočty!$R$9:$S$11,2,FALSE)</f>
        <v>Y</v>
      </c>
      <c r="J379" t="str">
        <f>VLOOKUP(CHYBY!C:C,výpočty!$R$3:$S$7,2,FALSE)</f>
        <v>D</v>
      </c>
      <c r="K379">
        <f>VLOOKUP(D:D,výpočty!$W$3:$X$20,2,FALSE)</f>
        <v>10</v>
      </c>
      <c r="L379" t="str">
        <f t="shared" si="15"/>
        <v>HYD10</v>
      </c>
      <c r="M379" t="str">
        <f t="shared" si="16"/>
        <v/>
      </c>
      <c r="N379">
        <f t="shared" si="17"/>
        <v>0</v>
      </c>
    </row>
    <row r="380" spans="1:14" ht="13.8" x14ac:dyDescent="0.3">
      <c r="A380" s="255" t="str">
        <f>výpočty!$R$15</f>
        <v>Poziomy (z lewej strony na prawą)</v>
      </c>
      <c r="B380" s="256" t="str">
        <f>výpočty!$R$10</f>
        <v>Do ślimaka roletowego</v>
      </c>
      <c r="C380" t="str">
        <f>výpočty!$R$6</f>
        <v>TOP - wpuszczany do przykręcenia metalowy z listwą maskującą</v>
      </c>
      <c r="D380" s="350" t="str">
        <f>výpočty!$W$14</f>
        <v>śnieżno biala mat (E9)</v>
      </c>
      <c r="E380" t="s">
        <v>2129</v>
      </c>
      <c r="F380">
        <v>0</v>
      </c>
      <c r="G380" t="s">
        <v>2139</v>
      </c>
      <c r="H380" t="str">
        <f>VLOOKUP(A:A,výpočty!$R$14:$S$15,2,FALSE)</f>
        <v>H</v>
      </c>
      <c r="I380" t="str">
        <f>VLOOKUP(B:B,výpočty!$R$9:$S$11,2,FALSE)</f>
        <v>Y</v>
      </c>
      <c r="J380" t="str">
        <f>VLOOKUP(CHYBY!C:C,výpočty!$R$3:$S$7,2,FALSE)</f>
        <v>D</v>
      </c>
      <c r="K380">
        <f>VLOOKUP(D:D,výpočty!$W$3:$X$20,2,FALSE)</f>
        <v>12</v>
      </c>
      <c r="L380" t="str">
        <f t="shared" si="15"/>
        <v>HYD12</v>
      </c>
      <c r="M380" t="str">
        <f t="shared" si="16"/>
        <v/>
      </c>
      <c r="N380">
        <f t="shared" si="17"/>
        <v>0</v>
      </c>
    </row>
    <row r="381" spans="1:14" ht="13.8" x14ac:dyDescent="0.3">
      <c r="A381" s="255" t="str">
        <f>výpočty!$R$15</f>
        <v>Poziomy (z lewej strony na prawą)</v>
      </c>
      <c r="B381" s="256" t="str">
        <f>výpočty!$R$10</f>
        <v>Do ślimaka roletowego</v>
      </c>
      <c r="C381" t="str">
        <f>výpočty!$R$6</f>
        <v>TOP - wpuszczany do przykręcenia metalowy z listwą maskującą</v>
      </c>
      <c r="D381" s="36" t="str">
        <f>výpočty!$W$15</f>
        <v>Aluminowa plastik (E4)</v>
      </c>
      <c r="E381" t="s">
        <v>2130</v>
      </c>
      <c r="F381">
        <v>1</v>
      </c>
      <c r="G381" s="321" t="str">
        <f>Překlady!$A$143</f>
        <v>Kolor aluminium plastik w profilu E4 jest idealny do poziomych rozwiązań w kombinacji z prowadzeniem Classic z systemem nawijania do tyłu</v>
      </c>
      <c r="H381" t="str">
        <f>VLOOKUP(A:A,výpočty!$R$14:$S$15,2,FALSE)</f>
        <v>H</v>
      </c>
      <c r="I381" t="str">
        <f>VLOOKUP(B:B,výpočty!$R$9:$S$11,2,FALSE)</f>
        <v>Y</v>
      </c>
      <c r="J381" t="str">
        <f>VLOOKUP(CHYBY!C:C,výpočty!$R$3:$S$7,2,FALSE)</f>
        <v>D</v>
      </c>
      <c r="K381">
        <f>VLOOKUP(D:D,výpočty!$W$3:$X$20,2,FALSE)</f>
        <v>13</v>
      </c>
      <c r="L381" t="str">
        <f t="shared" si="15"/>
        <v>HYD13</v>
      </c>
      <c r="M381" t="str">
        <f t="shared" si="16"/>
        <v>Kolor aluminium plastik w profilu E4 jest idealny do poziomych rozwiązań w kombinacji z prowadzeniem Classic z systemem nawijania do tyłu</v>
      </c>
      <c r="N381">
        <f t="shared" si="17"/>
        <v>1</v>
      </c>
    </row>
    <row r="382" spans="1:14" ht="13.8" x14ac:dyDescent="0.3">
      <c r="A382" s="255" t="str">
        <f>výpočty!$R$15</f>
        <v>Poziomy (z lewej strony na prawą)</v>
      </c>
      <c r="B382" s="256" t="str">
        <f>výpočty!$R$10</f>
        <v>Do ślimaka roletowego</v>
      </c>
      <c r="C382" t="str">
        <f>výpočty!$R$6</f>
        <v>TOP - wpuszczany do przykręcenia metalowy z listwą maskującą</v>
      </c>
      <c r="D382" s="36">
        <f>výpočty!$W$17</f>
        <v>0</v>
      </c>
      <c r="E382" t="s">
        <v>2129</v>
      </c>
      <c r="F382">
        <v>0</v>
      </c>
      <c r="G382" t="s">
        <v>2139</v>
      </c>
      <c r="H382" t="str">
        <f>VLOOKUP(A:A,výpočty!$R$14:$S$15,2,FALSE)</f>
        <v>H</v>
      </c>
      <c r="I382" t="str">
        <f>VLOOKUP(B:B,výpočty!$R$9:$S$11,2,FALSE)</f>
        <v>Y</v>
      </c>
      <c r="J382" t="str">
        <f>VLOOKUP(CHYBY!C:C,výpočty!$R$3:$S$7,2,FALSE)</f>
        <v>D</v>
      </c>
      <c r="K382" t="e">
        <f>VLOOKUP(D:D,výpočty!$W$3:$X$20,2,FALSE)</f>
        <v>#N/A</v>
      </c>
      <c r="L382" t="e">
        <f t="shared" si="15"/>
        <v>#N/A</v>
      </c>
      <c r="M382" t="str">
        <f t="shared" si="16"/>
        <v/>
      </c>
      <c r="N382">
        <f t="shared" si="17"/>
        <v>0</v>
      </c>
    </row>
    <row r="383" spans="1:14" ht="13.8" x14ac:dyDescent="0.3">
      <c r="A383" s="255" t="str">
        <f>výpočty!$R$15</f>
        <v>Poziomy (z lewej strony na prawą)</v>
      </c>
      <c r="B383" s="256" t="str">
        <f>výpočty!$R$10</f>
        <v>Do ślimaka roletowego</v>
      </c>
      <c r="C383" t="str">
        <f>výpočty!$R$6</f>
        <v>TOP - wpuszczany do przykręcenia metalowy z listwą maskującą</v>
      </c>
      <c r="D383" s="36">
        <f>výpočty!$W$18</f>
        <v>0</v>
      </c>
      <c r="E383" t="s">
        <v>2129</v>
      </c>
      <c r="F383">
        <v>0</v>
      </c>
      <c r="G383" t="s">
        <v>2139</v>
      </c>
      <c r="H383" t="str">
        <f>VLOOKUP(A:A,výpočty!$R$14:$S$15,2,FALSE)</f>
        <v>H</v>
      </c>
      <c r="I383" t="str">
        <f>VLOOKUP(B:B,výpočty!$R$9:$S$11,2,FALSE)</f>
        <v>Y</v>
      </c>
      <c r="J383" t="str">
        <f>VLOOKUP(CHYBY!C:C,výpočty!$R$3:$S$7,2,FALSE)</f>
        <v>D</v>
      </c>
      <c r="K383" t="e">
        <f>VLOOKUP(D:D,výpočty!$W$3:$X$20,2,FALSE)</f>
        <v>#N/A</v>
      </c>
      <c r="L383" t="e">
        <f t="shared" si="15"/>
        <v>#N/A</v>
      </c>
      <c r="M383" t="str">
        <f t="shared" si="16"/>
        <v/>
      </c>
      <c r="N383">
        <f t="shared" si="17"/>
        <v>0</v>
      </c>
    </row>
    <row r="384" spans="1:14" ht="13.8" x14ac:dyDescent="0.3">
      <c r="A384" s="255" t="str">
        <f>výpočty!$R$15</f>
        <v>Poziomy (z lewej strony na prawą)</v>
      </c>
      <c r="B384" s="256" t="str">
        <f>výpočty!$R$10</f>
        <v>Do ślimaka roletowego</v>
      </c>
      <c r="C384" t="str">
        <f>výpočty!$R$6</f>
        <v>TOP - wpuszczany do przykręcenia metalowy z listwą maskującą</v>
      </c>
      <c r="D384" s="36" t="str">
        <f>výpočty!$W$19</f>
        <v>Aluminium szerokość 25 mm (metallic-line)</v>
      </c>
      <c r="E384" t="s">
        <v>2129</v>
      </c>
      <c r="F384">
        <v>0</v>
      </c>
      <c r="G384" t="s">
        <v>2139</v>
      </c>
      <c r="H384" t="str">
        <f>VLOOKUP(A:A,výpočty!$R$14:$S$15,2,FALSE)</f>
        <v>H</v>
      </c>
      <c r="I384" t="str">
        <f>VLOOKUP(B:B,výpočty!$R$9:$S$11,2,FALSE)</f>
        <v>Y</v>
      </c>
      <c r="J384" t="str">
        <f>VLOOKUP(CHYBY!C:C,výpočty!$R$3:$S$7,2,FALSE)</f>
        <v>D</v>
      </c>
      <c r="K384">
        <f>VLOOKUP(D:D,výpočty!$W$3:$X$20,2,FALSE)</f>
        <v>17</v>
      </c>
      <c r="L384" t="str">
        <f t="shared" si="15"/>
        <v>HYD17</v>
      </c>
      <c r="M384" t="str">
        <f t="shared" si="16"/>
        <v/>
      </c>
      <c r="N384">
        <f t="shared" si="17"/>
        <v>0</v>
      </c>
    </row>
    <row r="385" spans="1:14" ht="14.4" thickBot="1" x14ac:dyDescent="0.35">
      <c r="A385" s="255" t="str">
        <f>výpočty!$R$15</f>
        <v>Poziomy (z lewej strony na prawą)</v>
      </c>
      <c r="B385" s="256" t="str">
        <f>výpočty!$R$10</f>
        <v>Do ślimaka roletowego</v>
      </c>
      <c r="C385" t="str">
        <f>výpočty!$R$6</f>
        <v>TOP - wpuszczany do przykręcenia metalowy z listwą maskującą</v>
      </c>
      <c r="D385" s="27" t="str">
        <f>výpočty!$W$20</f>
        <v>Nierdz. szerokość 25 mm (metallic-line)</v>
      </c>
      <c r="E385" t="s">
        <v>2129</v>
      </c>
      <c r="F385">
        <v>0</v>
      </c>
      <c r="G385" t="s">
        <v>2139</v>
      </c>
      <c r="H385" t="str">
        <f>VLOOKUP(A:A,výpočty!$R$14:$S$15,2,FALSE)</f>
        <v>H</v>
      </c>
      <c r="I385" t="str">
        <f>VLOOKUP(B:B,výpočty!$R$9:$S$11,2,FALSE)</f>
        <v>Y</v>
      </c>
      <c r="J385" t="str">
        <f>VLOOKUP(CHYBY!C:C,výpočty!$R$3:$S$7,2,FALSE)</f>
        <v>D</v>
      </c>
      <c r="K385">
        <f>VLOOKUP(D:D,výpočty!$W$3:$X$20,2,FALSE)</f>
        <v>18</v>
      </c>
      <c r="L385" t="str">
        <f t="shared" si="15"/>
        <v>HYD18</v>
      </c>
      <c r="M385" t="str">
        <f t="shared" si="16"/>
        <v/>
      </c>
      <c r="N385">
        <f t="shared" si="17"/>
        <v>0</v>
      </c>
    </row>
    <row r="386" spans="1:14" ht="13.8" x14ac:dyDescent="0.3">
      <c r="A386" s="255" t="str">
        <f>výpočty!$R$15</f>
        <v>Poziomy (z lewej strony na prawą)</v>
      </c>
      <c r="B386" s="256" t="str">
        <f>výpočty!$R$10</f>
        <v>Do ślimaka roletowego</v>
      </c>
      <c r="C386" t="str">
        <f>výpočty!$R$7</f>
        <v>Nakładany z prowadzeniem metalic-line 29 mm i mechanimem C3</v>
      </c>
      <c r="D386" s="26" t="str">
        <f>výpočty!$W$3</f>
        <v>Czarny (E23)</v>
      </c>
      <c r="E386" t="s">
        <v>2130</v>
      </c>
      <c r="F386">
        <v>1</v>
      </c>
      <c r="G386" s="321" t="str">
        <f>Překlady!$A$153</f>
        <v>U systemu nawijania do tyłu i do ślimaka roletowego nie da się zastosować nakładanego systemu prowadzenia 29 mm i mechanizmu C3. Należy wybrać wersję FRAME.</v>
      </c>
      <c r="H386" t="str">
        <f>VLOOKUP(A:A,výpočty!$R$14:$S$15,2,FALSE)</f>
        <v>H</v>
      </c>
      <c r="I386" t="str">
        <f>VLOOKUP(B:B,výpočty!$R$9:$S$11,2,FALSE)</f>
        <v>Y</v>
      </c>
      <c r="J386" t="str">
        <f>VLOOKUP(CHYBY!C:C,výpočty!$R$3:$S$7,2,FALSE)</f>
        <v>E</v>
      </c>
      <c r="K386">
        <f>VLOOKUP(D:D,výpočty!$W$3:$X$20,2,FALSE)</f>
        <v>1</v>
      </c>
      <c r="L386" t="str">
        <f t="shared" si="15"/>
        <v>HYE1</v>
      </c>
      <c r="M386" t="str">
        <f t="shared" si="16"/>
        <v>U systemu nawijania do tyłu i do ślimaka roletowego nie da się zastosować nakładanego systemu prowadzenia 29 mm i mechanizmu C3. Należy wybrać wersję FRAME.</v>
      </c>
      <c r="N386">
        <f t="shared" si="17"/>
        <v>1</v>
      </c>
    </row>
    <row r="387" spans="1:14" ht="13.8" x14ac:dyDescent="0.3">
      <c r="A387" s="255" t="str">
        <f>výpočty!$R$15</f>
        <v>Poziomy (z lewej strony na prawą)</v>
      </c>
      <c r="B387" s="256" t="str">
        <f>výpočty!$R$10</f>
        <v>Do ślimaka roletowego</v>
      </c>
      <c r="C387" t="str">
        <f>výpočty!$R$7</f>
        <v>Nakładany z prowadzeniem metalic-line 29 mm i mechanimem C3</v>
      </c>
      <c r="D387" s="36" t="str">
        <f>výpočty!$W$4</f>
        <v>Biały (E23)</v>
      </c>
      <c r="E387" t="s">
        <v>2130</v>
      </c>
      <c r="F387">
        <v>1</v>
      </c>
      <c r="G387" s="321" t="str">
        <f>Překlady!$A$153</f>
        <v>U systemu nawijania do tyłu i do ślimaka roletowego nie da się zastosować nakładanego systemu prowadzenia 29 mm i mechanizmu C3. Należy wybrać wersję FRAME.</v>
      </c>
      <c r="H387" t="str">
        <f>VLOOKUP(A:A,výpočty!$R$14:$S$15,2,FALSE)</f>
        <v>H</v>
      </c>
      <c r="I387" t="str">
        <f>VLOOKUP(B:B,výpočty!$R$9:$S$11,2,FALSE)</f>
        <v>Y</v>
      </c>
      <c r="J387" t="str">
        <f>VLOOKUP(CHYBY!C:C,výpočty!$R$3:$S$7,2,FALSE)</f>
        <v>E</v>
      </c>
      <c r="K387">
        <f>VLOOKUP(D:D,výpočty!$W$3:$X$20,2,FALSE)</f>
        <v>2</v>
      </c>
      <c r="L387" t="str">
        <f t="shared" ref="L387:L450" si="18">TRIM(CONCATENATE(H387,I387,J387,K387))</f>
        <v>HYE2</v>
      </c>
      <c r="M387" t="str">
        <f t="shared" ref="M387:M450" si="19">IF(G:G="OK","",G:G)</f>
        <v>U systemu nawijania do tyłu i do ślimaka roletowego nie da się zastosować nakładanego systemu prowadzenia 29 mm i mechanizmu C3. Należy wybrać wersję FRAME.</v>
      </c>
      <c r="N387">
        <f t="shared" ref="N387:N450" si="20">F:F</f>
        <v>1</v>
      </c>
    </row>
    <row r="388" spans="1:14" ht="13.8" x14ac:dyDescent="0.3">
      <c r="A388" s="255" t="str">
        <f>výpočty!$R$15</f>
        <v>Poziomy (z lewej strony na prawą)</v>
      </c>
      <c r="B388" s="256" t="str">
        <f>výpočty!$R$10</f>
        <v>Do ślimaka roletowego</v>
      </c>
      <c r="C388" t="str">
        <f>výpočty!$R$7</f>
        <v>Nakładany z prowadzeniem metalic-line 29 mm i mechanimem C3</v>
      </c>
      <c r="D388" s="36" t="str">
        <f>výpočty!$W$5</f>
        <v>Szary (E23)</v>
      </c>
      <c r="E388" t="s">
        <v>2130</v>
      </c>
      <c r="F388">
        <v>1</v>
      </c>
      <c r="G388" s="321" t="str">
        <f>Překlady!$A$153</f>
        <v>U systemu nawijania do tyłu i do ślimaka roletowego nie da się zastosować nakładanego systemu prowadzenia 29 mm i mechanizmu C3. Należy wybrać wersję FRAME.</v>
      </c>
      <c r="H388" t="str">
        <f>VLOOKUP(A:A,výpočty!$R$14:$S$15,2,FALSE)</f>
        <v>H</v>
      </c>
      <c r="I388" t="str">
        <f>VLOOKUP(B:B,výpočty!$R$9:$S$11,2,FALSE)</f>
        <v>Y</v>
      </c>
      <c r="J388" t="str">
        <f>VLOOKUP(CHYBY!C:C,výpočty!$R$3:$S$7,2,FALSE)</f>
        <v>E</v>
      </c>
      <c r="K388">
        <f>VLOOKUP(D:D,výpočty!$W$3:$X$20,2,FALSE)</f>
        <v>3</v>
      </c>
      <c r="L388" t="str">
        <f t="shared" si="18"/>
        <v>HYE3</v>
      </c>
      <c r="M388" t="str">
        <f t="shared" si="19"/>
        <v>U systemu nawijania do tyłu i do ślimaka roletowego nie da się zastosować nakładanego systemu prowadzenia 29 mm i mechanizmu C3. Należy wybrać wersję FRAME.</v>
      </c>
      <c r="N388">
        <f t="shared" si="20"/>
        <v>1</v>
      </c>
    </row>
    <row r="389" spans="1:14" ht="13.8" x14ac:dyDescent="0.3">
      <c r="A389" s="255" t="str">
        <f>výpočty!$R$15</f>
        <v>Poziomy (z lewej strony na prawą)</v>
      </c>
      <c r="B389" s="256" t="str">
        <f>výpočty!$R$10</f>
        <v>Do ślimaka roletowego</v>
      </c>
      <c r="C389" t="str">
        <f>výpočty!$R$7</f>
        <v>Nakładany z prowadzeniem metalic-line 29 mm i mechanimem C3</v>
      </c>
      <c r="D389" s="36" t="str">
        <f>výpočty!$W$6</f>
        <v>Aluminowa plastik (E23)</v>
      </c>
      <c r="E389" t="s">
        <v>2130</v>
      </c>
      <c r="F389">
        <v>1</v>
      </c>
      <c r="G389" s="321" t="str">
        <f>Překlady!$A$153</f>
        <v>U systemu nawijania do tyłu i do ślimaka roletowego nie da się zastosować nakładanego systemu prowadzenia 29 mm i mechanizmu C3. Należy wybrać wersję FRAME.</v>
      </c>
      <c r="H389" t="str">
        <f>VLOOKUP(A:A,výpočty!$R$14:$S$15,2,FALSE)</f>
        <v>H</v>
      </c>
      <c r="I389" t="str">
        <f>VLOOKUP(B:B,výpočty!$R$9:$S$11,2,FALSE)</f>
        <v>Y</v>
      </c>
      <c r="J389" t="str">
        <f>VLOOKUP(CHYBY!C:C,výpočty!$R$3:$S$7,2,FALSE)</f>
        <v>E</v>
      </c>
      <c r="K389">
        <f>VLOOKUP(D:D,výpočty!$W$3:$X$20,2,FALSE)</f>
        <v>4</v>
      </c>
      <c r="L389" t="str">
        <f t="shared" si="18"/>
        <v>HYE4</v>
      </c>
      <c r="M389" t="str">
        <f t="shared" si="19"/>
        <v>U systemu nawijania do tyłu i do ślimaka roletowego nie da się zastosować nakładanego systemu prowadzenia 29 mm i mechanizmu C3. Należy wybrać wersję FRAME.</v>
      </c>
      <c r="N389">
        <f t="shared" si="20"/>
        <v>1</v>
      </c>
    </row>
    <row r="390" spans="1:14" ht="13.8" x14ac:dyDescent="0.3">
      <c r="A390" s="255" t="str">
        <f>výpočty!$R$15</f>
        <v>Poziomy (z lewej strony na prawą)</v>
      </c>
      <c r="B390" s="256" t="str">
        <f>výpočty!$R$10</f>
        <v>Do ślimaka roletowego</v>
      </c>
      <c r="C390" t="str">
        <f>výpočty!$R$7</f>
        <v>Nakładany z prowadzeniem metalic-line 29 mm i mechanimem C3</v>
      </c>
      <c r="D390" s="36" t="str">
        <f>výpočty!$W$7</f>
        <v>Buk (E23)</v>
      </c>
      <c r="E390" t="s">
        <v>2130</v>
      </c>
      <c r="F390">
        <v>1</v>
      </c>
      <c r="G390" s="321" t="str">
        <f>Překlady!$A$153</f>
        <v>U systemu nawijania do tyłu i do ślimaka roletowego nie da się zastosować nakładanego systemu prowadzenia 29 mm i mechanizmu C3. Należy wybrać wersję FRAME.</v>
      </c>
      <c r="H390" t="str">
        <f>VLOOKUP(A:A,výpočty!$R$14:$S$15,2,FALSE)</f>
        <v>H</v>
      </c>
      <c r="I390" t="str">
        <f>VLOOKUP(B:B,výpočty!$R$9:$S$11,2,FALSE)</f>
        <v>Y</v>
      </c>
      <c r="J390" t="str">
        <f>VLOOKUP(CHYBY!C:C,výpočty!$R$3:$S$7,2,FALSE)</f>
        <v>E</v>
      </c>
      <c r="K390">
        <f>VLOOKUP(D:D,výpočty!$W$3:$X$20,2,FALSE)</f>
        <v>5</v>
      </c>
      <c r="L390" t="str">
        <f t="shared" si="18"/>
        <v>HYE5</v>
      </c>
      <c r="M390" t="str">
        <f t="shared" si="19"/>
        <v>U systemu nawijania do tyłu i do ślimaka roletowego nie da się zastosować nakładanego systemu prowadzenia 29 mm i mechanizmu C3. Należy wybrać wersję FRAME.</v>
      </c>
      <c r="N390">
        <f t="shared" si="20"/>
        <v>1</v>
      </c>
    </row>
    <row r="391" spans="1:14" ht="13.8" x14ac:dyDescent="0.3">
      <c r="A391" s="255" t="str">
        <f>výpočty!$R$15</f>
        <v>Poziomy (z lewej strony na prawą)</v>
      </c>
      <c r="B391" s="256" t="str">
        <f>výpočty!$R$10</f>
        <v>Do ślimaka roletowego</v>
      </c>
      <c r="C391" t="str">
        <f>výpočty!$R$7</f>
        <v>Nakładany z prowadzeniem metalic-line 29 mm i mechanimem C3</v>
      </c>
      <c r="D391" s="36" t="str">
        <f>výpočty!$W$8</f>
        <v>Czereśnia (E23)</v>
      </c>
      <c r="E391" t="s">
        <v>2130</v>
      </c>
      <c r="F391">
        <v>1</v>
      </c>
      <c r="G391" s="321" t="str">
        <f>Překlady!$A$153</f>
        <v>U systemu nawijania do tyłu i do ślimaka roletowego nie da się zastosować nakładanego systemu prowadzenia 29 mm i mechanizmu C3. Należy wybrać wersję FRAME.</v>
      </c>
      <c r="H391" t="str">
        <f>VLOOKUP(A:A,výpočty!$R$14:$S$15,2,FALSE)</f>
        <v>H</v>
      </c>
      <c r="I391" t="str">
        <f>VLOOKUP(B:B,výpočty!$R$9:$S$11,2,FALSE)</f>
        <v>Y</v>
      </c>
      <c r="J391" t="str">
        <f>VLOOKUP(CHYBY!C:C,výpočty!$R$3:$S$7,2,FALSE)</f>
        <v>E</v>
      </c>
      <c r="K391">
        <f>VLOOKUP(D:D,výpočty!$W$3:$X$20,2,FALSE)</f>
        <v>6</v>
      </c>
      <c r="L391" t="str">
        <f t="shared" si="18"/>
        <v>HYE6</v>
      </c>
      <c r="M391" t="str">
        <f t="shared" si="19"/>
        <v>U systemu nawijania do tyłu i do ślimaka roletowego nie da się zastosować nakładanego systemu prowadzenia 29 mm i mechanizmu C3. Należy wybrać wersję FRAME.</v>
      </c>
      <c r="N391">
        <f t="shared" si="20"/>
        <v>1</v>
      </c>
    </row>
    <row r="392" spans="1:14" ht="13.8" x14ac:dyDescent="0.3">
      <c r="A392" s="255" t="str">
        <f>výpočty!$R$15</f>
        <v>Poziomy (z lewej strony na prawą)</v>
      </c>
      <c r="B392" s="256" t="str">
        <f>výpočty!$R$10</f>
        <v>Do ślimaka roletowego</v>
      </c>
      <c r="C392" t="str">
        <f>výpočty!$R$7</f>
        <v>Nakładany z prowadzeniem metalic-line 29 mm i mechanimem C3</v>
      </c>
      <c r="D392" s="36" t="str">
        <f>výpočty!$W$9</f>
        <v>Klon (E23)</v>
      </c>
      <c r="E392" t="s">
        <v>2130</v>
      </c>
      <c r="F392">
        <v>1</v>
      </c>
      <c r="G392" s="321" t="str">
        <f>Překlady!$A$153</f>
        <v>U systemu nawijania do tyłu i do ślimaka roletowego nie da się zastosować nakładanego systemu prowadzenia 29 mm i mechanizmu C3. Należy wybrać wersję FRAME.</v>
      </c>
      <c r="H392" t="str">
        <f>VLOOKUP(A:A,výpočty!$R$14:$S$15,2,FALSE)</f>
        <v>H</v>
      </c>
      <c r="I392" t="str">
        <f>VLOOKUP(B:B,výpočty!$R$9:$S$11,2,FALSE)</f>
        <v>Y</v>
      </c>
      <c r="J392" t="str">
        <f>VLOOKUP(CHYBY!C:C,výpočty!$R$3:$S$7,2,FALSE)</f>
        <v>E</v>
      </c>
      <c r="K392">
        <f>VLOOKUP(D:D,výpočty!$W$3:$X$20,2,FALSE)</f>
        <v>7</v>
      </c>
      <c r="L392" t="str">
        <f t="shared" si="18"/>
        <v>HYE7</v>
      </c>
      <c r="M392" t="str">
        <f t="shared" si="19"/>
        <v>U systemu nawijania do tyłu i do ślimaka roletowego nie da się zastosować nakładanego systemu prowadzenia 29 mm i mechanizmu C3. Należy wybrać wersję FRAME.</v>
      </c>
      <c r="N392">
        <f t="shared" si="20"/>
        <v>1</v>
      </c>
    </row>
    <row r="393" spans="1:14" ht="13.8" x14ac:dyDescent="0.3">
      <c r="A393" s="255" t="str">
        <f>výpočty!$R$15</f>
        <v>Poziomy (z lewej strony na prawą)</v>
      </c>
      <c r="B393" s="256" t="str">
        <f>výpočty!$R$10</f>
        <v>Do ślimaka roletowego</v>
      </c>
      <c r="C393" t="str">
        <f>výpočty!$R$7</f>
        <v>Nakładany z prowadzeniem metalic-line 29 mm i mechanimem C3</v>
      </c>
      <c r="D393" s="36" t="str">
        <f>výpočty!$W$10</f>
        <v>Brzoza (E23)</v>
      </c>
      <c r="E393" t="s">
        <v>2130</v>
      </c>
      <c r="F393">
        <v>1</v>
      </c>
      <c r="G393" s="321" t="str">
        <f>Překlady!$A$153</f>
        <v>U systemu nawijania do tyłu i do ślimaka roletowego nie da się zastosować nakładanego systemu prowadzenia 29 mm i mechanizmu C3. Należy wybrać wersję FRAME.</v>
      </c>
      <c r="H393" t="str">
        <f>VLOOKUP(A:A,výpočty!$R$14:$S$15,2,FALSE)</f>
        <v>H</v>
      </c>
      <c r="I393" t="str">
        <f>VLOOKUP(B:B,výpočty!$R$9:$S$11,2,FALSE)</f>
        <v>Y</v>
      </c>
      <c r="J393" t="str">
        <f>VLOOKUP(CHYBY!C:C,výpočty!$R$3:$S$7,2,FALSE)</f>
        <v>E</v>
      </c>
      <c r="K393">
        <f>VLOOKUP(D:D,výpočty!$W$3:$X$20,2,FALSE)</f>
        <v>8</v>
      </c>
      <c r="L393" t="str">
        <f t="shared" si="18"/>
        <v>HYE8</v>
      </c>
      <c r="M393" t="str">
        <f t="shared" si="19"/>
        <v>U systemu nawijania do tyłu i do ślimaka roletowego nie da się zastosować nakładanego systemu prowadzenia 29 mm i mechanizmu C3. Należy wybrać wersję FRAME.</v>
      </c>
      <c r="N393">
        <f t="shared" si="20"/>
        <v>1</v>
      </c>
    </row>
    <row r="394" spans="1:14" ht="13.8" x14ac:dyDescent="0.3">
      <c r="A394" s="255" t="str">
        <f>výpočty!$R$15</f>
        <v>Poziomy (z lewej strony na prawą)</v>
      </c>
      <c r="B394" s="256" t="str">
        <f>výpočty!$R$10</f>
        <v>Do ślimaka roletowego</v>
      </c>
      <c r="C394" t="str">
        <f>výpočty!$R$7</f>
        <v>Nakładany z prowadzeniem metalic-line 29 mm i mechanimem C3</v>
      </c>
      <c r="D394" s="36" t="str">
        <f>výpočty!$W$11</f>
        <v>Czereśnia havana (E23)</v>
      </c>
      <c r="E394" t="s">
        <v>2130</v>
      </c>
      <c r="F394">
        <v>1</v>
      </c>
      <c r="G394" s="321" t="str">
        <f>Překlady!$A$153</f>
        <v>U systemu nawijania do tyłu i do ślimaka roletowego nie da się zastosować nakładanego systemu prowadzenia 29 mm i mechanizmu C3. Należy wybrać wersję FRAME.</v>
      </c>
      <c r="H394" t="str">
        <f>VLOOKUP(A:A,výpočty!$R$14:$S$15,2,FALSE)</f>
        <v>H</v>
      </c>
      <c r="I394" t="str">
        <f>VLOOKUP(B:B,výpočty!$R$9:$S$11,2,FALSE)</f>
        <v>Y</v>
      </c>
      <c r="J394" t="str">
        <f>VLOOKUP(CHYBY!C:C,výpočty!$R$3:$S$7,2,FALSE)</f>
        <v>E</v>
      </c>
      <c r="K394">
        <f>VLOOKUP(D:D,výpočty!$W$3:$X$20,2,FALSE)</f>
        <v>9</v>
      </c>
      <c r="L394" t="str">
        <f t="shared" si="18"/>
        <v>HYE9</v>
      </c>
      <c r="M394" t="str">
        <f t="shared" si="19"/>
        <v>U systemu nawijania do tyłu i do ślimaka roletowego nie da się zastosować nakładanego systemu prowadzenia 29 mm i mechanizmu C3. Należy wybrać wersję FRAME.</v>
      </c>
      <c r="N394">
        <f t="shared" si="20"/>
        <v>1</v>
      </c>
    </row>
    <row r="395" spans="1:14" ht="13.8" x14ac:dyDescent="0.3">
      <c r="A395" s="255" t="str">
        <f>výpočty!$R$15</f>
        <v>Poziomy (z lewej strony na prawą)</v>
      </c>
      <c r="B395" s="256" t="str">
        <f>výpočty!$R$10</f>
        <v>Do ślimaka roletowego</v>
      </c>
      <c r="C395" t="str">
        <f>výpočty!$R$7</f>
        <v>Nakładany z prowadzeniem metalic-line 29 mm i mechanimem C3</v>
      </c>
      <c r="D395" s="36" t="str">
        <f>výpočty!$W$12</f>
        <v>Calvados (E23)</v>
      </c>
      <c r="E395" t="s">
        <v>2130</v>
      </c>
      <c r="F395">
        <v>1</v>
      </c>
      <c r="G395" s="321" t="str">
        <f>Překlady!$A$153</f>
        <v>U systemu nawijania do tyłu i do ślimaka roletowego nie da się zastosować nakładanego systemu prowadzenia 29 mm i mechanizmu C3. Należy wybrać wersję FRAME.</v>
      </c>
      <c r="H395" t="str">
        <f>VLOOKUP(A:A,výpočty!$R$14:$S$15,2,FALSE)</f>
        <v>H</v>
      </c>
      <c r="I395" t="str">
        <f>VLOOKUP(B:B,výpočty!$R$9:$S$11,2,FALSE)</f>
        <v>Y</v>
      </c>
      <c r="J395" t="str">
        <f>VLOOKUP(CHYBY!C:C,výpočty!$R$3:$S$7,2,FALSE)</f>
        <v>E</v>
      </c>
      <c r="K395">
        <f>VLOOKUP(D:D,výpočty!$W$3:$X$20,2,FALSE)</f>
        <v>10</v>
      </c>
      <c r="L395" t="str">
        <f t="shared" si="18"/>
        <v>HYE10</v>
      </c>
      <c r="M395" t="str">
        <f t="shared" si="19"/>
        <v>U systemu nawijania do tyłu i do ślimaka roletowego nie da się zastosować nakładanego systemu prowadzenia 29 mm i mechanizmu C3. Należy wybrać wersję FRAME.</v>
      </c>
      <c r="N395">
        <f t="shared" si="20"/>
        <v>1</v>
      </c>
    </row>
    <row r="396" spans="1:14" ht="13.8" x14ac:dyDescent="0.3">
      <c r="A396" s="255" t="str">
        <f>výpočty!$R$15</f>
        <v>Poziomy (z lewej strony na prawą)</v>
      </c>
      <c r="B396" s="256" t="str">
        <f>výpočty!$R$10</f>
        <v>Do ślimaka roletowego</v>
      </c>
      <c r="C396" t="str">
        <f>výpočty!$R$7</f>
        <v>Nakładany z prowadzeniem metalic-line 29 mm i mechanimem C3</v>
      </c>
      <c r="D396" s="36" t="str">
        <f>výpočty!$W$14</f>
        <v>śnieżno biala mat (E9)</v>
      </c>
      <c r="E396" t="s">
        <v>2130</v>
      </c>
      <c r="F396">
        <v>1</v>
      </c>
      <c r="G396" s="321" t="str">
        <f>Překlady!$A$142</f>
        <v>Kolor śnieżno biały w profilu E9 można łączyć jedynie z prowadzeniem Classic i systemem nawijania do tyłu</v>
      </c>
      <c r="H396" t="str">
        <f>VLOOKUP(A:A,výpočty!$R$14:$S$15,2,FALSE)</f>
        <v>H</v>
      </c>
      <c r="I396" t="str">
        <f>VLOOKUP(B:B,výpočty!$R$9:$S$11,2,FALSE)</f>
        <v>Y</v>
      </c>
      <c r="J396" t="str">
        <f>VLOOKUP(CHYBY!C:C,výpočty!$R$3:$S$7,2,FALSE)</f>
        <v>E</v>
      </c>
      <c r="K396">
        <f>VLOOKUP(D:D,výpočty!$W$3:$X$20,2,FALSE)</f>
        <v>12</v>
      </c>
      <c r="L396" t="str">
        <f t="shared" si="18"/>
        <v>HYE12</v>
      </c>
      <c r="M396" t="str">
        <f t="shared" si="19"/>
        <v>Kolor śnieżno biały w profilu E9 można łączyć jedynie z prowadzeniem Classic i systemem nawijania do tyłu</v>
      </c>
      <c r="N396">
        <f t="shared" si="20"/>
        <v>1</v>
      </c>
    </row>
    <row r="397" spans="1:14" ht="13.8" x14ac:dyDescent="0.3">
      <c r="A397" s="255" t="str">
        <f>výpočty!$R$15</f>
        <v>Poziomy (z lewej strony na prawą)</v>
      </c>
      <c r="B397" s="256" t="str">
        <f>výpočty!$R$10</f>
        <v>Do ślimaka roletowego</v>
      </c>
      <c r="C397" t="str">
        <f>výpočty!$R$7</f>
        <v>Nakładany z prowadzeniem metalic-line 29 mm i mechanimem C3</v>
      </c>
      <c r="D397" s="36" t="str">
        <f>výpočty!$W$15</f>
        <v>Aluminowa plastik (E4)</v>
      </c>
      <c r="E397" t="s">
        <v>2130</v>
      </c>
      <c r="F397">
        <v>1</v>
      </c>
      <c r="G397" s="321" t="str">
        <f>Překlady!$A$143</f>
        <v>Kolor aluminium plastik w profilu E4 jest idealny do poziomych rozwiązań w kombinacji z prowadzeniem Classic z systemem nawijania do tyłu</v>
      </c>
      <c r="H397" t="str">
        <f>VLOOKUP(A:A,výpočty!$R$14:$S$15,2,FALSE)</f>
        <v>H</v>
      </c>
      <c r="I397" t="str">
        <f>VLOOKUP(B:B,výpočty!$R$9:$S$11,2,FALSE)</f>
        <v>Y</v>
      </c>
      <c r="J397" t="str">
        <f>VLOOKUP(CHYBY!C:C,výpočty!$R$3:$S$7,2,FALSE)</f>
        <v>E</v>
      </c>
      <c r="K397">
        <f>VLOOKUP(D:D,výpočty!$W$3:$X$20,2,FALSE)</f>
        <v>13</v>
      </c>
      <c r="L397" t="str">
        <f t="shared" si="18"/>
        <v>HYE13</v>
      </c>
      <c r="M397" t="str">
        <f t="shared" si="19"/>
        <v>Kolor aluminium plastik w profilu E4 jest idealny do poziomych rozwiązań w kombinacji z prowadzeniem Classic z systemem nawijania do tyłu</v>
      </c>
      <c r="N397">
        <f t="shared" si="20"/>
        <v>1</v>
      </c>
    </row>
    <row r="398" spans="1:14" ht="13.8" x14ac:dyDescent="0.3">
      <c r="A398" s="255" t="str">
        <f>výpočty!$R$15</f>
        <v>Poziomy (z lewej strony na prawą)</v>
      </c>
      <c r="B398" s="256" t="str">
        <f>výpočty!$R$10</f>
        <v>Do ślimaka roletowego</v>
      </c>
      <c r="C398" t="str">
        <f>výpočty!$R$7</f>
        <v>Nakładany z prowadzeniem metalic-line 29 mm i mechanimem C3</v>
      </c>
      <c r="D398" s="36">
        <f>výpočty!$W$17</f>
        <v>0</v>
      </c>
      <c r="E398" t="s">
        <v>2130</v>
      </c>
      <c r="F398">
        <v>1</v>
      </c>
      <c r="G398" s="321" t="str">
        <f>Překlady!$A$153</f>
        <v>U systemu nawijania do tyłu i do ślimaka roletowego nie da się zastosować nakładanego systemu prowadzenia 29 mm i mechanizmu C3. Należy wybrać wersję FRAME.</v>
      </c>
      <c r="H398" t="str">
        <f>VLOOKUP(A:A,výpočty!$R$14:$S$15,2,FALSE)</f>
        <v>H</v>
      </c>
      <c r="I398" t="str">
        <f>VLOOKUP(B:B,výpočty!$R$9:$S$11,2,FALSE)</f>
        <v>Y</v>
      </c>
      <c r="J398" t="str">
        <f>VLOOKUP(CHYBY!C:C,výpočty!$R$3:$S$7,2,FALSE)</f>
        <v>E</v>
      </c>
      <c r="K398" t="e">
        <f>VLOOKUP(D:D,výpočty!$W$3:$X$20,2,FALSE)</f>
        <v>#N/A</v>
      </c>
      <c r="L398" t="e">
        <f t="shared" si="18"/>
        <v>#N/A</v>
      </c>
      <c r="M398" t="str">
        <f t="shared" si="19"/>
        <v>U systemu nawijania do tyłu i do ślimaka roletowego nie da się zastosować nakładanego systemu prowadzenia 29 mm i mechanizmu C3. Należy wybrać wersję FRAME.</v>
      </c>
      <c r="N398">
        <f t="shared" si="20"/>
        <v>1</v>
      </c>
    </row>
    <row r="399" spans="1:14" ht="13.8" x14ac:dyDescent="0.3">
      <c r="A399" s="255" t="str">
        <f>výpočty!$R$15</f>
        <v>Poziomy (z lewej strony na prawą)</v>
      </c>
      <c r="B399" s="256" t="str">
        <f>výpočty!$R$10</f>
        <v>Do ślimaka roletowego</v>
      </c>
      <c r="C399" t="str">
        <f>výpočty!$R$7</f>
        <v>Nakładany z prowadzeniem metalic-line 29 mm i mechanimem C3</v>
      </c>
      <c r="D399" s="36">
        <f>výpočty!$W$18</f>
        <v>0</v>
      </c>
      <c r="E399" t="s">
        <v>2130</v>
      </c>
      <c r="F399">
        <v>1</v>
      </c>
      <c r="G399" s="321" t="str">
        <f>Překlady!$A$153</f>
        <v>U systemu nawijania do tyłu i do ślimaka roletowego nie da się zastosować nakładanego systemu prowadzenia 29 mm i mechanizmu C3. Należy wybrać wersję FRAME.</v>
      </c>
      <c r="H399" t="str">
        <f>VLOOKUP(A:A,výpočty!$R$14:$S$15,2,FALSE)</f>
        <v>H</v>
      </c>
      <c r="I399" t="str">
        <f>VLOOKUP(B:B,výpočty!$R$9:$S$11,2,FALSE)</f>
        <v>Y</v>
      </c>
      <c r="J399" t="str">
        <f>VLOOKUP(CHYBY!C:C,výpočty!$R$3:$S$7,2,FALSE)</f>
        <v>E</v>
      </c>
      <c r="K399" t="e">
        <f>VLOOKUP(D:D,výpočty!$W$3:$X$20,2,FALSE)</f>
        <v>#N/A</v>
      </c>
      <c r="L399" t="e">
        <f t="shared" si="18"/>
        <v>#N/A</v>
      </c>
      <c r="M399" t="str">
        <f t="shared" si="19"/>
        <v>U systemu nawijania do tyłu i do ślimaka roletowego nie da się zastosować nakładanego systemu prowadzenia 29 mm i mechanizmu C3. Należy wybrać wersję FRAME.</v>
      </c>
      <c r="N399">
        <f t="shared" si="20"/>
        <v>1</v>
      </c>
    </row>
    <row r="400" spans="1:14" ht="13.8" x14ac:dyDescent="0.3">
      <c r="A400" s="255" t="str">
        <f>výpočty!$R$15</f>
        <v>Poziomy (z lewej strony na prawą)</v>
      </c>
      <c r="B400" s="256" t="str">
        <f>výpočty!$R$10</f>
        <v>Do ślimaka roletowego</v>
      </c>
      <c r="C400" t="str">
        <f>výpočty!$R$7</f>
        <v>Nakładany z prowadzeniem metalic-line 29 mm i mechanimem C3</v>
      </c>
      <c r="D400" s="36" t="str">
        <f>výpočty!$W$19</f>
        <v>Aluminium szerokość 25 mm (metallic-line)</v>
      </c>
      <c r="E400" t="s">
        <v>2130</v>
      </c>
      <c r="F400">
        <v>1</v>
      </c>
      <c r="G400" s="321" t="str">
        <f>Překlady!$A$153</f>
        <v>U systemu nawijania do tyłu i do ślimaka roletowego nie da się zastosować nakładanego systemu prowadzenia 29 mm i mechanizmu C3. Należy wybrać wersję FRAME.</v>
      </c>
      <c r="H400" t="str">
        <f>VLOOKUP(A:A,výpočty!$R$14:$S$15,2,FALSE)</f>
        <v>H</v>
      </c>
      <c r="I400" t="str">
        <f>VLOOKUP(B:B,výpočty!$R$9:$S$11,2,FALSE)</f>
        <v>Y</v>
      </c>
      <c r="J400" t="str">
        <f>VLOOKUP(CHYBY!C:C,výpočty!$R$3:$S$7,2,FALSE)</f>
        <v>E</v>
      </c>
      <c r="K400">
        <f>VLOOKUP(D:D,výpočty!$W$3:$X$20,2,FALSE)</f>
        <v>17</v>
      </c>
      <c r="L400" t="str">
        <f t="shared" si="18"/>
        <v>HYE17</v>
      </c>
      <c r="M400" t="str">
        <f t="shared" si="19"/>
        <v>U systemu nawijania do tyłu i do ślimaka roletowego nie da się zastosować nakładanego systemu prowadzenia 29 mm i mechanizmu C3. Należy wybrać wersję FRAME.</v>
      </c>
      <c r="N400">
        <f t="shared" si="20"/>
        <v>1</v>
      </c>
    </row>
    <row r="401" spans="1:14" ht="14.4" thickBot="1" x14ac:dyDescent="0.35">
      <c r="A401" s="255" t="str">
        <f>výpočty!$R$15</f>
        <v>Poziomy (z lewej strony na prawą)</v>
      </c>
      <c r="B401" s="256" t="str">
        <f>výpočty!$R$10</f>
        <v>Do ślimaka roletowego</v>
      </c>
      <c r="C401" t="str">
        <f>výpočty!$R$7</f>
        <v>Nakładany z prowadzeniem metalic-line 29 mm i mechanimem C3</v>
      </c>
      <c r="D401" s="27" t="str">
        <f>výpočty!$W$20</f>
        <v>Nierdz. szerokość 25 mm (metallic-line)</v>
      </c>
      <c r="E401" t="s">
        <v>2130</v>
      </c>
      <c r="F401">
        <v>1</v>
      </c>
      <c r="G401" s="321" t="str">
        <f>Překlady!$A$153</f>
        <v>U systemu nawijania do tyłu i do ślimaka roletowego nie da się zastosować nakładanego systemu prowadzenia 29 mm i mechanizmu C3. Należy wybrać wersję FRAME.</v>
      </c>
      <c r="H401" t="str">
        <f>VLOOKUP(A:A,výpočty!$R$14:$S$15,2,FALSE)</f>
        <v>H</v>
      </c>
      <c r="I401" t="str">
        <f>VLOOKUP(B:B,výpočty!$R$9:$S$11,2,FALSE)</f>
        <v>Y</v>
      </c>
      <c r="J401" t="str">
        <f>VLOOKUP(CHYBY!C:C,výpočty!$R$3:$S$7,2,FALSE)</f>
        <v>E</v>
      </c>
      <c r="K401">
        <f>VLOOKUP(D:D,výpočty!$W$3:$X$20,2,FALSE)</f>
        <v>18</v>
      </c>
      <c r="L401" t="str">
        <f t="shared" si="18"/>
        <v>HYE18</v>
      </c>
      <c r="M401" t="str">
        <f t="shared" si="19"/>
        <v>U systemu nawijania do tyłu i do ślimaka roletowego nie da się zastosować nakładanego systemu prowadzenia 29 mm i mechanizmu C3. Należy wybrać wersję FRAME.</v>
      </c>
      <c r="N401">
        <f t="shared" si="20"/>
        <v>1</v>
      </c>
    </row>
    <row r="402" spans="1:14" ht="13.8" x14ac:dyDescent="0.3">
      <c r="A402" s="255" t="str">
        <f>výpočty!$R$15</f>
        <v>Poziomy (z lewej strony na prawą)</v>
      </c>
      <c r="B402" t="str">
        <f>výpočty!$R$11</f>
        <v>Z mecjanizmem C3</v>
      </c>
      <c r="C402" t="str">
        <f>výpočty!$R$3</f>
        <v>TOP Basic - wpuszczany do przykręcenia plastikowy</v>
      </c>
      <c r="D402" s="26" t="str">
        <f>výpočty!$W$3</f>
        <v>Czarny (E23)</v>
      </c>
      <c r="E402" t="s">
        <v>2130</v>
      </c>
      <c r="F402">
        <v>1</v>
      </c>
      <c r="G402" t="str">
        <f>Překlady!$A$154</f>
        <v>Mechanizmu C3 nie da się zastosować przy poziomym ruchu żaluzji.</v>
      </c>
      <c r="H402" t="str">
        <f>VLOOKUP(A:A,výpočty!$R$14:$S$15,2,FALSE)</f>
        <v>H</v>
      </c>
      <c r="I402" t="str">
        <f>VLOOKUP(B:B,výpočty!$R$9:$S$11,2,FALSE)</f>
        <v>Z</v>
      </c>
      <c r="J402" t="str">
        <f>VLOOKUP(CHYBY!C:C,výpočty!$R$3:$S$7,2,FALSE)</f>
        <v>A</v>
      </c>
      <c r="K402">
        <f>VLOOKUP(D:D,výpočty!$W$3:$X$20,2,FALSE)</f>
        <v>1</v>
      </c>
      <c r="L402" t="str">
        <f t="shared" si="18"/>
        <v>HZA1</v>
      </c>
      <c r="M402" t="str">
        <f t="shared" si="19"/>
        <v>Mechanizmu C3 nie da się zastosować przy poziomym ruchu żaluzji.</v>
      </c>
      <c r="N402">
        <f t="shared" si="20"/>
        <v>1</v>
      </c>
    </row>
    <row r="403" spans="1:14" ht="13.8" x14ac:dyDescent="0.3">
      <c r="A403" s="255" t="str">
        <f>výpočty!$R$15</f>
        <v>Poziomy (z lewej strony na prawą)</v>
      </c>
      <c r="B403" t="str">
        <f>výpočty!$R$11</f>
        <v>Z mecjanizmem C3</v>
      </c>
      <c r="C403" t="str">
        <f>výpočty!$R$3</f>
        <v>TOP Basic - wpuszczany do przykręcenia plastikowy</v>
      </c>
      <c r="D403" s="36" t="str">
        <f>výpočty!$W$4</f>
        <v>Biały (E23)</v>
      </c>
      <c r="E403" t="s">
        <v>2130</v>
      </c>
      <c r="F403">
        <v>1</v>
      </c>
      <c r="G403" t="str">
        <f>Překlady!$A$154</f>
        <v>Mechanizmu C3 nie da się zastosować przy poziomym ruchu żaluzji.</v>
      </c>
      <c r="H403" t="str">
        <f>VLOOKUP(A:A,výpočty!$R$14:$S$15,2,FALSE)</f>
        <v>H</v>
      </c>
      <c r="I403" t="str">
        <f>VLOOKUP(B:B,výpočty!$R$9:$S$11,2,FALSE)</f>
        <v>Z</v>
      </c>
      <c r="J403" t="str">
        <f>VLOOKUP(CHYBY!C:C,výpočty!$R$3:$S$7,2,FALSE)</f>
        <v>A</v>
      </c>
      <c r="K403">
        <f>VLOOKUP(D:D,výpočty!$W$3:$X$20,2,FALSE)</f>
        <v>2</v>
      </c>
      <c r="L403" t="str">
        <f t="shared" si="18"/>
        <v>HZA2</v>
      </c>
      <c r="M403" t="str">
        <f t="shared" si="19"/>
        <v>Mechanizmu C3 nie da się zastosować przy poziomym ruchu żaluzji.</v>
      </c>
      <c r="N403">
        <f t="shared" si="20"/>
        <v>1</v>
      </c>
    </row>
    <row r="404" spans="1:14" ht="13.8" x14ac:dyDescent="0.3">
      <c r="A404" s="255" t="str">
        <f>výpočty!$R$15</f>
        <v>Poziomy (z lewej strony na prawą)</v>
      </c>
      <c r="B404" t="str">
        <f>výpočty!$R$11</f>
        <v>Z mecjanizmem C3</v>
      </c>
      <c r="C404" t="str">
        <f>výpočty!$R$3</f>
        <v>TOP Basic - wpuszczany do przykręcenia plastikowy</v>
      </c>
      <c r="D404" s="36" t="str">
        <f>výpočty!$W$5</f>
        <v>Szary (E23)</v>
      </c>
      <c r="E404" t="s">
        <v>2130</v>
      </c>
      <c r="F404">
        <v>1</v>
      </c>
      <c r="G404" t="str">
        <f>Překlady!$A$154</f>
        <v>Mechanizmu C3 nie da się zastosować przy poziomym ruchu żaluzji.</v>
      </c>
      <c r="H404" t="str">
        <f>VLOOKUP(A:A,výpočty!$R$14:$S$15,2,FALSE)</f>
        <v>H</v>
      </c>
      <c r="I404" t="str">
        <f>VLOOKUP(B:B,výpočty!$R$9:$S$11,2,FALSE)</f>
        <v>Z</v>
      </c>
      <c r="J404" t="str">
        <f>VLOOKUP(CHYBY!C:C,výpočty!$R$3:$S$7,2,FALSE)</f>
        <v>A</v>
      </c>
      <c r="K404">
        <f>VLOOKUP(D:D,výpočty!$W$3:$X$20,2,FALSE)</f>
        <v>3</v>
      </c>
      <c r="L404" t="str">
        <f t="shared" si="18"/>
        <v>HZA3</v>
      </c>
      <c r="M404" t="str">
        <f t="shared" si="19"/>
        <v>Mechanizmu C3 nie da się zastosować przy poziomym ruchu żaluzji.</v>
      </c>
      <c r="N404">
        <f t="shared" si="20"/>
        <v>1</v>
      </c>
    </row>
    <row r="405" spans="1:14" ht="13.8" x14ac:dyDescent="0.3">
      <c r="A405" s="255" t="str">
        <f>výpočty!$R$15</f>
        <v>Poziomy (z lewej strony na prawą)</v>
      </c>
      <c r="B405" t="str">
        <f>výpočty!$R$11</f>
        <v>Z mecjanizmem C3</v>
      </c>
      <c r="C405" t="str">
        <f>výpočty!$R$3</f>
        <v>TOP Basic - wpuszczany do przykręcenia plastikowy</v>
      </c>
      <c r="D405" s="36" t="str">
        <f>výpočty!$W$6</f>
        <v>Aluminowa plastik (E23)</v>
      </c>
      <c r="E405" t="s">
        <v>2130</v>
      </c>
      <c r="F405">
        <v>1</v>
      </c>
      <c r="G405" t="str">
        <f>Překlady!$A$154</f>
        <v>Mechanizmu C3 nie da się zastosować przy poziomym ruchu żaluzji.</v>
      </c>
      <c r="H405" t="str">
        <f>VLOOKUP(A:A,výpočty!$R$14:$S$15,2,FALSE)</f>
        <v>H</v>
      </c>
      <c r="I405" t="str">
        <f>VLOOKUP(B:B,výpočty!$R$9:$S$11,2,FALSE)</f>
        <v>Z</v>
      </c>
      <c r="J405" t="str">
        <f>VLOOKUP(CHYBY!C:C,výpočty!$R$3:$S$7,2,FALSE)</f>
        <v>A</v>
      </c>
      <c r="K405">
        <f>VLOOKUP(D:D,výpočty!$W$3:$X$20,2,FALSE)</f>
        <v>4</v>
      </c>
      <c r="L405" t="str">
        <f t="shared" si="18"/>
        <v>HZA4</v>
      </c>
      <c r="M405" t="str">
        <f t="shared" si="19"/>
        <v>Mechanizmu C3 nie da się zastosować przy poziomym ruchu żaluzji.</v>
      </c>
      <c r="N405">
        <f t="shared" si="20"/>
        <v>1</v>
      </c>
    </row>
    <row r="406" spans="1:14" ht="13.8" x14ac:dyDescent="0.3">
      <c r="A406" s="255" t="str">
        <f>výpočty!$R$15</f>
        <v>Poziomy (z lewej strony na prawą)</v>
      </c>
      <c r="B406" t="str">
        <f>výpočty!$R$11</f>
        <v>Z mecjanizmem C3</v>
      </c>
      <c r="C406" t="str">
        <f>výpočty!$R$3</f>
        <v>TOP Basic - wpuszczany do przykręcenia plastikowy</v>
      </c>
      <c r="D406" s="36" t="str">
        <f>výpočty!$W$7</f>
        <v>Buk (E23)</v>
      </c>
      <c r="E406" t="s">
        <v>2130</v>
      </c>
      <c r="F406">
        <v>1</v>
      </c>
      <c r="G406" t="str">
        <f>Překlady!$A$154</f>
        <v>Mechanizmu C3 nie da się zastosować przy poziomym ruchu żaluzji.</v>
      </c>
      <c r="H406" t="str">
        <f>VLOOKUP(A:A,výpočty!$R$14:$S$15,2,FALSE)</f>
        <v>H</v>
      </c>
      <c r="I406" t="str">
        <f>VLOOKUP(B:B,výpočty!$R$9:$S$11,2,FALSE)</f>
        <v>Z</v>
      </c>
      <c r="J406" t="str">
        <f>VLOOKUP(CHYBY!C:C,výpočty!$R$3:$S$7,2,FALSE)</f>
        <v>A</v>
      </c>
      <c r="K406">
        <f>VLOOKUP(D:D,výpočty!$W$3:$X$20,2,FALSE)</f>
        <v>5</v>
      </c>
      <c r="L406" t="str">
        <f t="shared" si="18"/>
        <v>HZA5</v>
      </c>
      <c r="M406" t="str">
        <f t="shared" si="19"/>
        <v>Mechanizmu C3 nie da się zastosować przy poziomym ruchu żaluzji.</v>
      </c>
      <c r="N406">
        <f t="shared" si="20"/>
        <v>1</v>
      </c>
    </row>
    <row r="407" spans="1:14" ht="13.8" x14ac:dyDescent="0.3">
      <c r="A407" s="255" t="str">
        <f>výpočty!$R$15</f>
        <v>Poziomy (z lewej strony na prawą)</v>
      </c>
      <c r="B407" t="str">
        <f>výpočty!$R$11</f>
        <v>Z mecjanizmem C3</v>
      </c>
      <c r="C407" t="str">
        <f>výpočty!$R$3</f>
        <v>TOP Basic - wpuszczany do przykręcenia plastikowy</v>
      </c>
      <c r="D407" s="36" t="str">
        <f>výpočty!$W$8</f>
        <v>Czereśnia (E23)</v>
      </c>
      <c r="E407" t="s">
        <v>2130</v>
      </c>
      <c r="F407">
        <v>1</v>
      </c>
      <c r="G407" t="str">
        <f>Překlady!$A$154</f>
        <v>Mechanizmu C3 nie da się zastosować przy poziomym ruchu żaluzji.</v>
      </c>
      <c r="H407" t="str">
        <f>VLOOKUP(A:A,výpočty!$R$14:$S$15,2,FALSE)</f>
        <v>H</v>
      </c>
      <c r="I407" t="str">
        <f>VLOOKUP(B:B,výpočty!$R$9:$S$11,2,FALSE)</f>
        <v>Z</v>
      </c>
      <c r="J407" t="str">
        <f>VLOOKUP(CHYBY!C:C,výpočty!$R$3:$S$7,2,FALSE)</f>
        <v>A</v>
      </c>
      <c r="K407">
        <f>VLOOKUP(D:D,výpočty!$W$3:$X$20,2,FALSE)</f>
        <v>6</v>
      </c>
      <c r="L407" t="str">
        <f t="shared" si="18"/>
        <v>HZA6</v>
      </c>
      <c r="M407" t="str">
        <f t="shared" si="19"/>
        <v>Mechanizmu C3 nie da się zastosować przy poziomym ruchu żaluzji.</v>
      </c>
      <c r="N407">
        <f t="shared" si="20"/>
        <v>1</v>
      </c>
    </row>
    <row r="408" spans="1:14" ht="13.8" x14ac:dyDescent="0.3">
      <c r="A408" s="255" t="str">
        <f>výpočty!$R$15</f>
        <v>Poziomy (z lewej strony na prawą)</v>
      </c>
      <c r="B408" t="str">
        <f>výpočty!$R$11</f>
        <v>Z mecjanizmem C3</v>
      </c>
      <c r="C408" t="str">
        <f>výpočty!$R$3</f>
        <v>TOP Basic - wpuszczany do przykręcenia plastikowy</v>
      </c>
      <c r="D408" s="36" t="str">
        <f>výpočty!$W$9</f>
        <v>Klon (E23)</v>
      </c>
      <c r="E408" t="s">
        <v>2130</v>
      </c>
      <c r="F408">
        <v>1</v>
      </c>
      <c r="G408" t="str">
        <f>Překlady!$A$154</f>
        <v>Mechanizmu C3 nie da się zastosować przy poziomym ruchu żaluzji.</v>
      </c>
      <c r="H408" t="str">
        <f>VLOOKUP(A:A,výpočty!$R$14:$S$15,2,FALSE)</f>
        <v>H</v>
      </c>
      <c r="I408" t="str">
        <f>VLOOKUP(B:B,výpočty!$R$9:$S$11,2,FALSE)</f>
        <v>Z</v>
      </c>
      <c r="J408" t="str">
        <f>VLOOKUP(CHYBY!C:C,výpočty!$R$3:$S$7,2,FALSE)</f>
        <v>A</v>
      </c>
      <c r="K408">
        <f>VLOOKUP(D:D,výpočty!$W$3:$X$20,2,FALSE)</f>
        <v>7</v>
      </c>
      <c r="L408" t="str">
        <f t="shared" si="18"/>
        <v>HZA7</v>
      </c>
      <c r="M408" t="str">
        <f t="shared" si="19"/>
        <v>Mechanizmu C3 nie da się zastosować przy poziomym ruchu żaluzji.</v>
      </c>
      <c r="N408">
        <f t="shared" si="20"/>
        <v>1</v>
      </c>
    </row>
    <row r="409" spans="1:14" ht="13.8" x14ac:dyDescent="0.3">
      <c r="A409" s="255" t="str">
        <f>výpočty!$R$15</f>
        <v>Poziomy (z lewej strony na prawą)</v>
      </c>
      <c r="B409" t="str">
        <f>výpočty!$R$11</f>
        <v>Z mecjanizmem C3</v>
      </c>
      <c r="C409" t="str">
        <f>výpočty!$R$3</f>
        <v>TOP Basic - wpuszczany do przykręcenia plastikowy</v>
      </c>
      <c r="D409" s="36" t="str">
        <f>výpočty!$W$10</f>
        <v>Brzoza (E23)</v>
      </c>
      <c r="E409" t="s">
        <v>2130</v>
      </c>
      <c r="F409">
        <v>1</v>
      </c>
      <c r="G409" t="str">
        <f>Překlady!$A$154</f>
        <v>Mechanizmu C3 nie da się zastosować przy poziomym ruchu żaluzji.</v>
      </c>
      <c r="H409" t="str">
        <f>VLOOKUP(A:A,výpočty!$R$14:$S$15,2,FALSE)</f>
        <v>H</v>
      </c>
      <c r="I409" t="str">
        <f>VLOOKUP(B:B,výpočty!$R$9:$S$11,2,FALSE)</f>
        <v>Z</v>
      </c>
      <c r="J409" t="str">
        <f>VLOOKUP(CHYBY!C:C,výpočty!$R$3:$S$7,2,FALSE)</f>
        <v>A</v>
      </c>
      <c r="K409">
        <f>VLOOKUP(D:D,výpočty!$W$3:$X$20,2,FALSE)</f>
        <v>8</v>
      </c>
      <c r="L409" t="str">
        <f t="shared" si="18"/>
        <v>HZA8</v>
      </c>
      <c r="M409" t="str">
        <f t="shared" si="19"/>
        <v>Mechanizmu C3 nie da się zastosować przy poziomym ruchu żaluzji.</v>
      </c>
      <c r="N409">
        <f t="shared" si="20"/>
        <v>1</v>
      </c>
    </row>
    <row r="410" spans="1:14" ht="13.8" x14ac:dyDescent="0.3">
      <c r="A410" s="255" t="str">
        <f>výpočty!$R$15</f>
        <v>Poziomy (z lewej strony na prawą)</v>
      </c>
      <c r="B410" t="str">
        <f>výpočty!$R$11</f>
        <v>Z mecjanizmem C3</v>
      </c>
      <c r="C410" t="str">
        <f>výpočty!$R$3</f>
        <v>TOP Basic - wpuszczany do przykręcenia plastikowy</v>
      </c>
      <c r="D410" s="36" t="str">
        <f>výpočty!$W$11</f>
        <v>Czereśnia havana (E23)</v>
      </c>
      <c r="E410" t="s">
        <v>2130</v>
      </c>
      <c r="F410">
        <v>1</v>
      </c>
      <c r="G410" t="str">
        <f>Překlady!$A$154</f>
        <v>Mechanizmu C3 nie da się zastosować przy poziomym ruchu żaluzji.</v>
      </c>
      <c r="H410" t="str">
        <f>VLOOKUP(A:A,výpočty!$R$14:$S$15,2,FALSE)</f>
        <v>H</v>
      </c>
      <c r="I410" t="str">
        <f>VLOOKUP(B:B,výpočty!$R$9:$S$11,2,FALSE)</f>
        <v>Z</v>
      </c>
      <c r="J410" t="str">
        <f>VLOOKUP(CHYBY!C:C,výpočty!$R$3:$S$7,2,FALSE)</f>
        <v>A</v>
      </c>
      <c r="K410">
        <f>VLOOKUP(D:D,výpočty!$W$3:$X$20,2,FALSE)</f>
        <v>9</v>
      </c>
      <c r="L410" t="str">
        <f t="shared" si="18"/>
        <v>HZA9</v>
      </c>
      <c r="M410" t="str">
        <f t="shared" si="19"/>
        <v>Mechanizmu C3 nie da się zastosować przy poziomym ruchu żaluzji.</v>
      </c>
      <c r="N410">
        <f t="shared" si="20"/>
        <v>1</v>
      </c>
    </row>
    <row r="411" spans="1:14" ht="13.8" x14ac:dyDescent="0.3">
      <c r="A411" s="255" t="str">
        <f>výpočty!$R$15</f>
        <v>Poziomy (z lewej strony na prawą)</v>
      </c>
      <c r="B411" t="str">
        <f>výpočty!$R$11</f>
        <v>Z mecjanizmem C3</v>
      </c>
      <c r="C411" t="str">
        <f>výpočty!$R$3</f>
        <v>TOP Basic - wpuszczany do przykręcenia plastikowy</v>
      </c>
      <c r="D411" s="36" t="str">
        <f>výpočty!$W$12</f>
        <v>Calvados (E23)</v>
      </c>
      <c r="E411" t="s">
        <v>2130</v>
      </c>
      <c r="F411">
        <v>1</v>
      </c>
      <c r="G411" t="str">
        <f>Překlady!$A$154</f>
        <v>Mechanizmu C3 nie da się zastosować przy poziomym ruchu żaluzji.</v>
      </c>
      <c r="H411" t="str">
        <f>VLOOKUP(A:A,výpočty!$R$14:$S$15,2,FALSE)</f>
        <v>H</v>
      </c>
      <c r="I411" t="str">
        <f>VLOOKUP(B:B,výpočty!$R$9:$S$11,2,FALSE)</f>
        <v>Z</v>
      </c>
      <c r="J411" t="str">
        <f>VLOOKUP(CHYBY!C:C,výpočty!$R$3:$S$7,2,FALSE)</f>
        <v>A</v>
      </c>
      <c r="K411">
        <f>VLOOKUP(D:D,výpočty!$W$3:$X$20,2,FALSE)</f>
        <v>10</v>
      </c>
      <c r="L411" t="str">
        <f t="shared" si="18"/>
        <v>HZA10</v>
      </c>
      <c r="M411" t="str">
        <f t="shared" si="19"/>
        <v>Mechanizmu C3 nie da się zastosować przy poziomym ruchu żaluzji.</v>
      </c>
      <c r="N411">
        <f t="shared" si="20"/>
        <v>1</v>
      </c>
    </row>
    <row r="412" spans="1:14" ht="13.8" x14ac:dyDescent="0.3">
      <c r="A412" s="255" t="str">
        <f>výpočty!$R$15</f>
        <v>Poziomy (z lewej strony na prawą)</v>
      </c>
      <c r="B412" t="str">
        <f>výpočty!$R$11</f>
        <v>Z mecjanizmem C3</v>
      </c>
      <c r="C412" t="str">
        <f>výpočty!$R$3</f>
        <v>TOP Basic - wpuszczany do przykręcenia plastikowy</v>
      </c>
      <c r="D412" s="36" t="str">
        <f>výpočty!$W$14</f>
        <v>śnieżno biala mat (E9)</v>
      </c>
      <c r="E412" t="s">
        <v>2130</v>
      </c>
      <c r="F412">
        <v>1</v>
      </c>
      <c r="G412" t="str">
        <f>Překlady!$A$154</f>
        <v>Mechanizmu C3 nie da się zastosować przy poziomym ruchu żaluzji.</v>
      </c>
      <c r="H412" t="str">
        <f>VLOOKUP(A:A,výpočty!$R$14:$S$15,2,FALSE)</f>
        <v>H</v>
      </c>
      <c r="I412" t="str">
        <f>VLOOKUP(B:B,výpočty!$R$9:$S$11,2,FALSE)</f>
        <v>Z</v>
      </c>
      <c r="J412" t="str">
        <f>VLOOKUP(CHYBY!C:C,výpočty!$R$3:$S$7,2,FALSE)</f>
        <v>A</v>
      </c>
      <c r="K412">
        <f>VLOOKUP(D:D,výpočty!$W$3:$X$20,2,FALSE)</f>
        <v>12</v>
      </c>
      <c r="L412" t="str">
        <f t="shared" si="18"/>
        <v>HZA12</v>
      </c>
      <c r="M412" t="str">
        <f t="shared" si="19"/>
        <v>Mechanizmu C3 nie da się zastosować przy poziomym ruchu żaluzji.</v>
      </c>
      <c r="N412">
        <f t="shared" si="20"/>
        <v>1</v>
      </c>
    </row>
    <row r="413" spans="1:14" ht="13.8" x14ac:dyDescent="0.3">
      <c r="A413" s="255" t="str">
        <f>výpočty!$R$15</f>
        <v>Poziomy (z lewej strony na prawą)</v>
      </c>
      <c r="B413" t="str">
        <f>výpočty!$R$11</f>
        <v>Z mecjanizmem C3</v>
      </c>
      <c r="C413" t="str">
        <f>výpočty!$R$3</f>
        <v>TOP Basic - wpuszczany do przykręcenia plastikowy</v>
      </c>
      <c r="D413" s="36" t="str">
        <f>výpočty!$W$15</f>
        <v>Aluminowa plastik (E4)</v>
      </c>
      <c r="E413" t="s">
        <v>2130</v>
      </c>
      <c r="F413">
        <v>1</v>
      </c>
      <c r="G413" s="321" t="str">
        <f>Překlady!$A$143</f>
        <v>Kolor aluminium plastik w profilu E4 jest idealny do poziomych rozwiązań w kombinacji z prowadzeniem Classic z systemem nawijania do tyłu</v>
      </c>
      <c r="H413" t="str">
        <f>VLOOKUP(A:A,výpočty!$R$14:$S$15,2,FALSE)</f>
        <v>H</v>
      </c>
      <c r="I413" t="str">
        <f>VLOOKUP(B:B,výpočty!$R$9:$S$11,2,FALSE)</f>
        <v>Z</v>
      </c>
      <c r="J413" t="str">
        <f>VLOOKUP(CHYBY!C:C,výpočty!$R$3:$S$7,2,FALSE)</f>
        <v>A</v>
      </c>
      <c r="K413">
        <f>VLOOKUP(D:D,výpočty!$W$3:$X$20,2,FALSE)</f>
        <v>13</v>
      </c>
      <c r="L413" t="str">
        <f t="shared" si="18"/>
        <v>HZA13</v>
      </c>
      <c r="M413" t="str">
        <f t="shared" si="19"/>
        <v>Kolor aluminium plastik w profilu E4 jest idealny do poziomych rozwiązań w kombinacji z prowadzeniem Classic z systemem nawijania do tyłu</v>
      </c>
      <c r="N413">
        <f t="shared" si="20"/>
        <v>1</v>
      </c>
    </row>
    <row r="414" spans="1:14" ht="13.8" x14ac:dyDescent="0.3">
      <c r="A414" s="255" t="str">
        <f>výpočty!$R$15</f>
        <v>Poziomy (z lewej strony na prawą)</v>
      </c>
      <c r="B414" t="str">
        <f>výpočty!$R$11</f>
        <v>Z mecjanizmem C3</v>
      </c>
      <c r="C414" t="str">
        <f>výpočty!$R$3</f>
        <v>TOP Basic - wpuszczany do przykręcenia plastikowy</v>
      </c>
      <c r="D414" s="36">
        <f>výpočty!$W$17</f>
        <v>0</v>
      </c>
      <c r="E414" t="s">
        <v>2130</v>
      </c>
      <c r="F414">
        <v>1</v>
      </c>
      <c r="G414" t="str">
        <f>Překlady!$A$154</f>
        <v>Mechanizmu C3 nie da się zastosować przy poziomym ruchu żaluzji.</v>
      </c>
      <c r="H414" t="str">
        <f>VLOOKUP(A:A,výpočty!$R$14:$S$15,2,FALSE)</f>
        <v>H</v>
      </c>
      <c r="I414" t="str">
        <f>VLOOKUP(B:B,výpočty!$R$9:$S$11,2,FALSE)</f>
        <v>Z</v>
      </c>
      <c r="J414" t="str">
        <f>VLOOKUP(CHYBY!C:C,výpočty!$R$3:$S$7,2,FALSE)</f>
        <v>A</v>
      </c>
      <c r="K414" t="e">
        <f>VLOOKUP(D:D,výpočty!$W$3:$X$20,2,FALSE)</f>
        <v>#N/A</v>
      </c>
      <c r="L414" t="e">
        <f t="shared" si="18"/>
        <v>#N/A</v>
      </c>
      <c r="M414" t="str">
        <f t="shared" si="19"/>
        <v>Mechanizmu C3 nie da się zastosować przy poziomym ruchu żaluzji.</v>
      </c>
      <c r="N414">
        <f t="shared" si="20"/>
        <v>1</v>
      </c>
    </row>
    <row r="415" spans="1:14" ht="13.8" x14ac:dyDescent="0.3">
      <c r="A415" s="255" t="str">
        <f>výpočty!$R$15</f>
        <v>Poziomy (z lewej strony na prawą)</v>
      </c>
      <c r="B415" t="str">
        <f>výpočty!$R$11</f>
        <v>Z mecjanizmem C3</v>
      </c>
      <c r="C415" t="str">
        <f>výpočty!$R$3</f>
        <v>TOP Basic - wpuszczany do przykręcenia plastikowy</v>
      </c>
      <c r="D415" s="36">
        <f>výpočty!$W$18</f>
        <v>0</v>
      </c>
      <c r="E415" t="s">
        <v>2130</v>
      </c>
      <c r="F415">
        <v>1</v>
      </c>
      <c r="G415" t="str">
        <f>Překlady!$A$154</f>
        <v>Mechanizmu C3 nie da się zastosować przy poziomym ruchu żaluzji.</v>
      </c>
      <c r="H415" t="str">
        <f>VLOOKUP(A:A,výpočty!$R$14:$S$15,2,FALSE)</f>
        <v>H</v>
      </c>
      <c r="I415" t="str">
        <f>VLOOKUP(B:B,výpočty!$R$9:$S$11,2,FALSE)</f>
        <v>Z</v>
      </c>
      <c r="J415" t="str">
        <f>VLOOKUP(CHYBY!C:C,výpočty!$R$3:$S$7,2,FALSE)</f>
        <v>A</v>
      </c>
      <c r="K415" t="e">
        <f>VLOOKUP(D:D,výpočty!$W$3:$X$20,2,FALSE)</f>
        <v>#N/A</v>
      </c>
      <c r="L415" t="e">
        <f t="shared" si="18"/>
        <v>#N/A</v>
      </c>
      <c r="M415" t="str">
        <f t="shared" si="19"/>
        <v>Mechanizmu C3 nie da się zastosować przy poziomym ruchu żaluzji.</v>
      </c>
      <c r="N415">
        <f t="shared" si="20"/>
        <v>1</v>
      </c>
    </row>
    <row r="416" spans="1:14" ht="13.8" x14ac:dyDescent="0.3">
      <c r="A416" s="255" t="str">
        <f>výpočty!$R$15</f>
        <v>Poziomy (z lewej strony na prawą)</v>
      </c>
      <c r="B416" t="str">
        <f>výpočty!$R$11</f>
        <v>Z mecjanizmem C3</v>
      </c>
      <c r="C416" t="str">
        <f>výpočty!$R$3</f>
        <v>TOP Basic - wpuszczany do przykręcenia plastikowy</v>
      </c>
      <c r="D416" s="36" t="str">
        <f>výpočty!$W$19</f>
        <v>Aluminium szerokość 25 mm (metallic-line)</v>
      </c>
      <c r="E416" t="s">
        <v>2130</v>
      </c>
      <c r="F416">
        <v>1</v>
      </c>
      <c r="G416" t="str">
        <f>Překlady!$A$154</f>
        <v>Mechanizmu C3 nie da się zastosować przy poziomym ruchu żaluzji.</v>
      </c>
      <c r="H416" t="str">
        <f>VLOOKUP(A:A,výpočty!$R$14:$S$15,2,FALSE)</f>
        <v>H</v>
      </c>
      <c r="I416" t="str">
        <f>VLOOKUP(B:B,výpočty!$R$9:$S$11,2,FALSE)</f>
        <v>Z</v>
      </c>
      <c r="J416" t="str">
        <f>VLOOKUP(CHYBY!C:C,výpočty!$R$3:$S$7,2,FALSE)</f>
        <v>A</v>
      </c>
      <c r="K416">
        <f>VLOOKUP(D:D,výpočty!$W$3:$X$20,2,FALSE)</f>
        <v>17</v>
      </c>
      <c r="L416" t="str">
        <f t="shared" si="18"/>
        <v>HZA17</v>
      </c>
      <c r="M416" t="str">
        <f t="shared" si="19"/>
        <v>Mechanizmu C3 nie da się zastosować przy poziomym ruchu żaluzji.</v>
      </c>
      <c r="N416">
        <f t="shared" si="20"/>
        <v>1</v>
      </c>
    </row>
    <row r="417" spans="1:14" ht="14.4" thickBot="1" x14ac:dyDescent="0.35">
      <c r="A417" s="255" t="str">
        <f>výpočty!$R$15</f>
        <v>Poziomy (z lewej strony na prawą)</v>
      </c>
      <c r="B417" t="str">
        <f>výpočty!$R$11</f>
        <v>Z mecjanizmem C3</v>
      </c>
      <c r="C417" t="str">
        <f>výpočty!$R$3</f>
        <v>TOP Basic - wpuszczany do przykręcenia plastikowy</v>
      </c>
      <c r="D417" s="27" t="str">
        <f>výpočty!$W$20</f>
        <v>Nierdz. szerokość 25 mm (metallic-line)</v>
      </c>
      <c r="E417" t="s">
        <v>2130</v>
      </c>
      <c r="F417">
        <v>1</v>
      </c>
      <c r="G417" t="str">
        <f>Překlady!$A$154</f>
        <v>Mechanizmu C3 nie da się zastosować przy poziomym ruchu żaluzji.</v>
      </c>
      <c r="H417" t="str">
        <f>VLOOKUP(A:A,výpočty!$R$14:$S$15,2,FALSE)</f>
        <v>H</v>
      </c>
      <c r="I417" t="str">
        <f>VLOOKUP(B:B,výpočty!$R$9:$S$11,2,FALSE)</f>
        <v>Z</v>
      </c>
      <c r="J417" t="str">
        <f>VLOOKUP(CHYBY!C:C,výpočty!$R$3:$S$7,2,FALSE)</f>
        <v>A</v>
      </c>
      <c r="K417">
        <f>VLOOKUP(D:D,výpočty!$W$3:$X$20,2,FALSE)</f>
        <v>18</v>
      </c>
      <c r="L417" t="str">
        <f t="shared" si="18"/>
        <v>HZA18</v>
      </c>
      <c r="M417" t="str">
        <f t="shared" si="19"/>
        <v>Mechanizmu C3 nie da się zastosować przy poziomym ruchu żaluzji.</v>
      </c>
      <c r="N417">
        <f t="shared" si="20"/>
        <v>1</v>
      </c>
    </row>
    <row r="418" spans="1:14" ht="13.8" x14ac:dyDescent="0.3">
      <c r="A418" s="255" t="str">
        <f>výpočty!$R$15</f>
        <v>Poziomy (z lewej strony na prawą)</v>
      </c>
      <c r="B418" t="str">
        <f>výpočty!$R$11</f>
        <v>Z mecjanizmem C3</v>
      </c>
      <c r="C418" t="str">
        <f>výpočty!$R$4</f>
        <v>Classic - wpuszczany do zafrezowania</v>
      </c>
      <c r="D418" s="26" t="str">
        <f>výpočty!$W$3</f>
        <v>Czarny (E23)</v>
      </c>
      <c r="E418" t="s">
        <v>2130</v>
      </c>
      <c r="F418">
        <v>1</v>
      </c>
      <c r="G418" t="str">
        <f>Překlady!$A$154</f>
        <v>Mechanizmu C3 nie da się zastosować przy poziomym ruchu żaluzji.</v>
      </c>
      <c r="H418" t="str">
        <f>VLOOKUP(A:A,výpočty!$R$14:$S$15,2,FALSE)</f>
        <v>H</v>
      </c>
      <c r="I418" t="str">
        <f>VLOOKUP(B:B,výpočty!$R$9:$S$11,2,FALSE)</f>
        <v>Z</v>
      </c>
      <c r="J418" t="str">
        <f>VLOOKUP(CHYBY!C:C,výpočty!$R$3:$S$7,2,FALSE)</f>
        <v>B</v>
      </c>
      <c r="K418">
        <f>VLOOKUP(D:D,výpočty!$W$3:$X$20,2,FALSE)</f>
        <v>1</v>
      </c>
      <c r="L418" t="str">
        <f t="shared" si="18"/>
        <v>HZB1</v>
      </c>
      <c r="M418" t="str">
        <f t="shared" si="19"/>
        <v>Mechanizmu C3 nie da się zastosować przy poziomym ruchu żaluzji.</v>
      </c>
      <c r="N418">
        <f t="shared" si="20"/>
        <v>1</v>
      </c>
    </row>
    <row r="419" spans="1:14" ht="13.8" x14ac:dyDescent="0.3">
      <c r="A419" s="255" t="str">
        <f>výpočty!$R$15</f>
        <v>Poziomy (z lewej strony na prawą)</v>
      </c>
      <c r="B419" t="str">
        <f>výpočty!$R$11</f>
        <v>Z mecjanizmem C3</v>
      </c>
      <c r="C419" t="str">
        <f>výpočty!$R$4</f>
        <v>Classic - wpuszczany do zafrezowania</v>
      </c>
      <c r="D419" s="36" t="str">
        <f>výpočty!$W$4</f>
        <v>Biały (E23)</v>
      </c>
      <c r="E419" t="s">
        <v>2130</v>
      </c>
      <c r="F419">
        <v>1</v>
      </c>
      <c r="G419" t="str">
        <f>Překlady!$A$154</f>
        <v>Mechanizmu C3 nie da się zastosować przy poziomym ruchu żaluzji.</v>
      </c>
      <c r="H419" t="str">
        <f>VLOOKUP(A:A,výpočty!$R$14:$S$15,2,FALSE)</f>
        <v>H</v>
      </c>
      <c r="I419" t="str">
        <f>VLOOKUP(B:B,výpočty!$R$9:$S$11,2,FALSE)</f>
        <v>Z</v>
      </c>
      <c r="J419" t="str">
        <f>VLOOKUP(CHYBY!C:C,výpočty!$R$3:$S$7,2,FALSE)</f>
        <v>B</v>
      </c>
      <c r="K419">
        <f>VLOOKUP(D:D,výpočty!$W$3:$X$20,2,FALSE)</f>
        <v>2</v>
      </c>
      <c r="L419" t="str">
        <f t="shared" si="18"/>
        <v>HZB2</v>
      </c>
      <c r="M419" t="str">
        <f t="shared" si="19"/>
        <v>Mechanizmu C3 nie da się zastosować przy poziomym ruchu żaluzji.</v>
      </c>
      <c r="N419">
        <f t="shared" si="20"/>
        <v>1</v>
      </c>
    </row>
    <row r="420" spans="1:14" ht="13.8" x14ac:dyDescent="0.3">
      <c r="A420" s="255" t="str">
        <f>výpočty!$R$15</f>
        <v>Poziomy (z lewej strony na prawą)</v>
      </c>
      <c r="B420" t="str">
        <f>výpočty!$R$11</f>
        <v>Z mecjanizmem C3</v>
      </c>
      <c r="C420" t="str">
        <f>výpočty!$R$4</f>
        <v>Classic - wpuszczany do zafrezowania</v>
      </c>
      <c r="D420" s="36" t="str">
        <f>výpočty!$W$5</f>
        <v>Szary (E23)</v>
      </c>
      <c r="E420" t="s">
        <v>2130</v>
      </c>
      <c r="F420">
        <v>1</v>
      </c>
      <c r="G420" t="str">
        <f>Překlady!$A$154</f>
        <v>Mechanizmu C3 nie da się zastosować przy poziomym ruchu żaluzji.</v>
      </c>
      <c r="H420" t="str">
        <f>VLOOKUP(A:A,výpočty!$R$14:$S$15,2,FALSE)</f>
        <v>H</v>
      </c>
      <c r="I420" t="str">
        <f>VLOOKUP(B:B,výpočty!$R$9:$S$11,2,FALSE)</f>
        <v>Z</v>
      </c>
      <c r="J420" t="str">
        <f>VLOOKUP(CHYBY!C:C,výpočty!$R$3:$S$7,2,FALSE)</f>
        <v>B</v>
      </c>
      <c r="K420">
        <f>VLOOKUP(D:D,výpočty!$W$3:$X$20,2,FALSE)</f>
        <v>3</v>
      </c>
      <c r="L420" t="str">
        <f t="shared" si="18"/>
        <v>HZB3</v>
      </c>
      <c r="M420" t="str">
        <f t="shared" si="19"/>
        <v>Mechanizmu C3 nie da się zastosować przy poziomym ruchu żaluzji.</v>
      </c>
      <c r="N420">
        <f t="shared" si="20"/>
        <v>1</v>
      </c>
    </row>
    <row r="421" spans="1:14" ht="13.8" x14ac:dyDescent="0.3">
      <c r="A421" s="255" t="str">
        <f>výpočty!$R$15</f>
        <v>Poziomy (z lewej strony na prawą)</v>
      </c>
      <c r="B421" t="str">
        <f>výpočty!$R$11</f>
        <v>Z mecjanizmem C3</v>
      </c>
      <c r="C421" t="str">
        <f>výpočty!$R$4</f>
        <v>Classic - wpuszczany do zafrezowania</v>
      </c>
      <c r="D421" s="36" t="str">
        <f>výpočty!$W$6</f>
        <v>Aluminowa plastik (E23)</v>
      </c>
      <c r="E421" t="s">
        <v>2130</v>
      </c>
      <c r="F421">
        <v>1</v>
      </c>
      <c r="G421" t="str">
        <f>Překlady!$A$154</f>
        <v>Mechanizmu C3 nie da się zastosować przy poziomym ruchu żaluzji.</v>
      </c>
      <c r="H421" t="str">
        <f>VLOOKUP(A:A,výpočty!$R$14:$S$15,2,FALSE)</f>
        <v>H</v>
      </c>
      <c r="I421" t="str">
        <f>VLOOKUP(B:B,výpočty!$R$9:$S$11,2,FALSE)</f>
        <v>Z</v>
      </c>
      <c r="J421" t="str">
        <f>VLOOKUP(CHYBY!C:C,výpočty!$R$3:$S$7,2,FALSE)</f>
        <v>B</v>
      </c>
      <c r="K421">
        <f>VLOOKUP(D:D,výpočty!$W$3:$X$20,2,FALSE)</f>
        <v>4</v>
      </c>
      <c r="L421" t="str">
        <f t="shared" si="18"/>
        <v>HZB4</v>
      </c>
      <c r="M421" t="str">
        <f t="shared" si="19"/>
        <v>Mechanizmu C3 nie da się zastosować przy poziomym ruchu żaluzji.</v>
      </c>
      <c r="N421">
        <f t="shared" si="20"/>
        <v>1</v>
      </c>
    </row>
    <row r="422" spans="1:14" ht="13.8" x14ac:dyDescent="0.3">
      <c r="A422" s="255" t="str">
        <f>výpočty!$R$15</f>
        <v>Poziomy (z lewej strony na prawą)</v>
      </c>
      <c r="B422" t="str">
        <f>výpočty!$R$11</f>
        <v>Z mecjanizmem C3</v>
      </c>
      <c r="C422" t="str">
        <f>výpočty!$R$4</f>
        <v>Classic - wpuszczany do zafrezowania</v>
      </c>
      <c r="D422" s="36" t="str">
        <f>výpočty!$W$7</f>
        <v>Buk (E23)</v>
      </c>
      <c r="E422" t="s">
        <v>2130</v>
      </c>
      <c r="F422">
        <v>1</v>
      </c>
      <c r="G422" t="str">
        <f>Překlady!$A$154</f>
        <v>Mechanizmu C3 nie da się zastosować przy poziomym ruchu żaluzji.</v>
      </c>
      <c r="H422" t="str">
        <f>VLOOKUP(A:A,výpočty!$R$14:$S$15,2,FALSE)</f>
        <v>H</v>
      </c>
      <c r="I422" t="str">
        <f>VLOOKUP(B:B,výpočty!$R$9:$S$11,2,FALSE)</f>
        <v>Z</v>
      </c>
      <c r="J422" t="str">
        <f>VLOOKUP(CHYBY!C:C,výpočty!$R$3:$S$7,2,FALSE)</f>
        <v>B</v>
      </c>
      <c r="K422">
        <f>VLOOKUP(D:D,výpočty!$W$3:$X$20,2,FALSE)</f>
        <v>5</v>
      </c>
      <c r="L422" t="str">
        <f t="shared" si="18"/>
        <v>HZB5</v>
      </c>
      <c r="M422" t="str">
        <f t="shared" si="19"/>
        <v>Mechanizmu C3 nie da się zastosować przy poziomym ruchu żaluzji.</v>
      </c>
      <c r="N422">
        <f t="shared" si="20"/>
        <v>1</v>
      </c>
    </row>
    <row r="423" spans="1:14" ht="13.8" x14ac:dyDescent="0.3">
      <c r="A423" s="255" t="str">
        <f>výpočty!$R$15</f>
        <v>Poziomy (z lewej strony na prawą)</v>
      </c>
      <c r="B423" t="str">
        <f>výpočty!$R$11</f>
        <v>Z mecjanizmem C3</v>
      </c>
      <c r="C423" t="str">
        <f>výpočty!$R$4</f>
        <v>Classic - wpuszczany do zafrezowania</v>
      </c>
      <c r="D423" s="36" t="str">
        <f>výpočty!$W$8</f>
        <v>Czereśnia (E23)</v>
      </c>
      <c r="E423" t="s">
        <v>2130</v>
      </c>
      <c r="F423">
        <v>1</v>
      </c>
      <c r="G423" t="str">
        <f>Překlady!$A$154</f>
        <v>Mechanizmu C3 nie da się zastosować przy poziomym ruchu żaluzji.</v>
      </c>
      <c r="H423" t="str">
        <f>VLOOKUP(A:A,výpočty!$R$14:$S$15,2,FALSE)</f>
        <v>H</v>
      </c>
      <c r="I423" t="str">
        <f>VLOOKUP(B:B,výpočty!$R$9:$S$11,2,FALSE)</f>
        <v>Z</v>
      </c>
      <c r="J423" t="str">
        <f>VLOOKUP(CHYBY!C:C,výpočty!$R$3:$S$7,2,FALSE)</f>
        <v>B</v>
      </c>
      <c r="K423">
        <f>VLOOKUP(D:D,výpočty!$W$3:$X$20,2,FALSE)</f>
        <v>6</v>
      </c>
      <c r="L423" t="str">
        <f t="shared" si="18"/>
        <v>HZB6</v>
      </c>
      <c r="M423" t="str">
        <f t="shared" si="19"/>
        <v>Mechanizmu C3 nie da się zastosować przy poziomym ruchu żaluzji.</v>
      </c>
      <c r="N423">
        <f t="shared" si="20"/>
        <v>1</v>
      </c>
    </row>
    <row r="424" spans="1:14" ht="13.8" x14ac:dyDescent="0.3">
      <c r="A424" s="255" t="str">
        <f>výpočty!$R$15</f>
        <v>Poziomy (z lewej strony na prawą)</v>
      </c>
      <c r="B424" t="str">
        <f>výpočty!$R$11</f>
        <v>Z mecjanizmem C3</v>
      </c>
      <c r="C424" t="str">
        <f>výpočty!$R$4</f>
        <v>Classic - wpuszczany do zafrezowania</v>
      </c>
      <c r="D424" s="36" t="str">
        <f>výpočty!$W$9</f>
        <v>Klon (E23)</v>
      </c>
      <c r="E424" t="s">
        <v>2130</v>
      </c>
      <c r="F424">
        <v>1</v>
      </c>
      <c r="G424" t="str">
        <f>Překlady!$A$154</f>
        <v>Mechanizmu C3 nie da się zastosować przy poziomym ruchu żaluzji.</v>
      </c>
      <c r="H424" t="str">
        <f>VLOOKUP(A:A,výpočty!$R$14:$S$15,2,FALSE)</f>
        <v>H</v>
      </c>
      <c r="I424" t="str">
        <f>VLOOKUP(B:B,výpočty!$R$9:$S$11,2,FALSE)</f>
        <v>Z</v>
      </c>
      <c r="J424" t="str">
        <f>VLOOKUP(CHYBY!C:C,výpočty!$R$3:$S$7,2,FALSE)</f>
        <v>B</v>
      </c>
      <c r="K424">
        <f>VLOOKUP(D:D,výpočty!$W$3:$X$20,2,FALSE)</f>
        <v>7</v>
      </c>
      <c r="L424" t="str">
        <f t="shared" si="18"/>
        <v>HZB7</v>
      </c>
      <c r="M424" t="str">
        <f t="shared" si="19"/>
        <v>Mechanizmu C3 nie da się zastosować przy poziomym ruchu żaluzji.</v>
      </c>
      <c r="N424">
        <f t="shared" si="20"/>
        <v>1</v>
      </c>
    </row>
    <row r="425" spans="1:14" ht="13.8" x14ac:dyDescent="0.3">
      <c r="A425" s="255" t="str">
        <f>výpočty!$R$15</f>
        <v>Poziomy (z lewej strony na prawą)</v>
      </c>
      <c r="B425" t="str">
        <f>výpočty!$R$11</f>
        <v>Z mecjanizmem C3</v>
      </c>
      <c r="C425" t="str">
        <f>výpočty!$R$4</f>
        <v>Classic - wpuszczany do zafrezowania</v>
      </c>
      <c r="D425" s="36" t="str">
        <f>výpočty!$W$10</f>
        <v>Brzoza (E23)</v>
      </c>
      <c r="E425" t="s">
        <v>2130</v>
      </c>
      <c r="F425">
        <v>1</v>
      </c>
      <c r="G425" t="str">
        <f>Překlady!$A$154</f>
        <v>Mechanizmu C3 nie da się zastosować przy poziomym ruchu żaluzji.</v>
      </c>
      <c r="H425" t="str">
        <f>VLOOKUP(A:A,výpočty!$R$14:$S$15,2,FALSE)</f>
        <v>H</v>
      </c>
      <c r="I425" t="str">
        <f>VLOOKUP(B:B,výpočty!$R$9:$S$11,2,FALSE)</f>
        <v>Z</v>
      </c>
      <c r="J425" t="str">
        <f>VLOOKUP(CHYBY!C:C,výpočty!$R$3:$S$7,2,FALSE)</f>
        <v>B</v>
      </c>
      <c r="K425">
        <f>VLOOKUP(D:D,výpočty!$W$3:$X$20,2,FALSE)</f>
        <v>8</v>
      </c>
      <c r="L425" t="str">
        <f t="shared" si="18"/>
        <v>HZB8</v>
      </c>
      <c r="M425" t="str">
        <f t="shared" si="19"/>
        <v>Mechanizmu C3 nie da się zastosować przy poziomym ruchu żaluzji.</v>
      </c>
      <c r="N425">
        <f t="shared" si="20"/>
        <v>1</v>
      </c>
    </row>
    <row r="426" spans="1:14" ht="13.8" x14ac:dyDescent="0.3">
      <c r="A426" s="255" t="str">
        <f>výpočty!$R$15</f>
        <v>Poziomy (z lewej strony na prawą)</v>
      </c>
      <c r="B426" t="str">
        <f>výpočty!$R$11</f>
        <v>Z mecjanizmem C3</v>
      </c>
      <c r="C426" t="str">
        <f>výpočty!$R$4</f>
        <v>Classic - wpuszczany do zafrezowania</v>
      </c>
      <c r="D426" s="36" t="str">
        <f>výpočty!$W$11</f>
        <v>Czereśnia havana (E23)</v>
      </c>
      <c r="E426" t="s">
        <v>2130</v>
      </c>
      <c r="F426">
        <v>1</v>
      </c>
      <c r="G426" t="str">
        <f>Překlady!$A$154</f>
        <v>Mechanizmu C3 nie da się zastosować przy poziomym ruchu żaluzji.</v>
      </c>
      <c r="H426" t="str">
        <f>VLOOKUP(A:A,výpočty!$R$14:$S$15,2,FALSE)</f>
        <v>H</v>
      </c>
      <c r="I426" t="str">
        <f>VLOOKUP(B:B,výpočty!$R$9:$S$11,2,FALSE)</f>
        <v>Z</v>
      </c>
      <c r="J426" t="str">
        <f>VLOOKUP(CHYBY!C:C,výpočty!$R$3:$S$7,2,FALSE)</f>
        <v>B</v>
      </c>
      <c r="K426">
        <f>VLOOKUP(D:D,výpočty!$W$3:$X$20,2,FALSE)</f>
        <v>9</v>
      </c>
      <c r="L426" t="str">
        <f t="shared" si="18"/>
        <v>HZB9</v>
      </c>
      <c r="M426" t="str">
        <f t="shared" si="19"/>
        <v>Mechanizmu C3 nie da się zastosować przy poziomym ruchu żaluzji.</v>
      </c>
      <c r="N426">
        <f t="shared" si="20"/>
        <v>1</v>
      </c>
    </row>
    <row r="427" spans="1:14" ht="13.8" x14ac:dyDescent="0.3">
      <c r="A427" s="255" t="str">
        <f>výpočty!$R$15</f>
        <v>Poziomy (z lewej strony na prawą)</v>
      </c>
      <c r="B427" t="str">
        <f>výpočty!$R$11</f>
        <v>Z mecjanizmem C3</v>
      </c>
      <c r="C427" t="str">
        <f>výpočty!$R$4</f>
        <v>Classic - wpuszczany do zafrezowania</v>
      </c>
      <c r="D427" s="36" t="str">
        <f>výpočty!$W$12</f>
        <v>Calvados (E23)</v>
      </c>
      <c r="E427" t="s">
        <v>2130</v>
      </c>
      <c r="F427">
        <v>1</v>
      </c>
      <c r="G427" t="str">
        <f>Překlady!$A$154</f>
        <v>Mechanizmu C3 nie da się zastosować przy poziomym ruchu żaluzji.</v>
      </c>
      <c r="H427" t="str">
        <f>VLOOKUP(A:A,výpočty!$R$14:$S$15,2,FALSE)</f>
        <v>H</v>
      </c>
      <c r="I427" t="str">
        <f>VLOOKUP(B:B,výpočty!$R$9:$S$11,2,FALSE)</f>
        <v>Z</v>
      </c>
      <c r="J427" t="str">
        <f>VLOOKUP(CHYBY!C:C,výpočty!$R$3:$S$7,2,FALSE)</f>
        <v>B</v>
      </c>
      <c r="K427">
        <f>VLOOKUP(D:D,výpočty!$W$3:$X$20,2,FALSE)</f>
        <v>10</v>
      </c>
      <c r="L427" t="str">
        <f t="shared" si="18"/>
        <v>HZB10</v>
      </c>
      <c r="M427" t="str">
        <f t="shared" si="19"/>
        <v>Mechanizmu C3 nie da się zastosować przy poziomym ruchu żaluzji.</v>
      </c>
      <c r="N427">
        <f t="shared" si="20"/>
        <v>1</v>
      </c>
    </row>
    <row r="428" spans="1:14" ht="13.8" x14ac:dyDescent="0.3">
      <c r="A428" s="255" t="str">
        <f>výpočty!$R$15</f>
        <v>Poziomy (z lewej strony na prawą)</v>
      </c>
      <c r="B428" t="str">
        <f>výpočty!$R$11</f>
        <v>Z mecjanizmem C3</v>
      </c>
      <c r="C428" t="str">
        <f>výpočty!$R$4</f>
        <v>Classic - wpuszczany do zafrezowania</v>
      </c>
      <c r="D428" s="36" t="str">
        <f>výpočty!$W$14</f>
        <v>śnieżno biala mat (E9)</v>
      </c>
      <c r="E428" t="s">
        <v>2130</v>
      </c>
      <c r="F428">
        <v>1</v>
      </c>
      <c r="G428" t="str">
        <f>Překlady!$A$154</f>
        <v>Mechanizmu C3 nie da się zastosować przy poziomym ruchu żaluzji.</v>
      </c>
      <c r="H428" t="str">
        <f>VLOOKUP(A:A,výpočty!$R$14:$S$15,2,FALSE)</f>
        <v>H</v>
      </c>
      <c r="I428" t="str">
        <f>VLOOKUP(B:B,výpočty!$R$9:$S$11,2,FALSE)</f>
        <v>Z</v>
      </c>
      <c r="J428" t="str">
        <f>VLOOKUP(CHYBY!C:C,výpočty!$R$3:$S$7,2,FALSE)</f>
        <v>B</v>
      </c>
      <c r="K428">
        <f>VLOOKUP(D:D,výpočty!$W$3:$X$20,2,FALSE)</f>
        <v>12</v>
      </c>
      <c r="L428" t="str">
        <f t="shared" si="18"/>
        <v>HZB12</v>
      </c>
      <c r="M428" t="str">
        <f t="shared" si="19"/>
        <v>Mechanizmu C3 nie da się zastosować przy poziomym ruchu żaluzji.</v>
      </c>
      <c r="N428">
        <f t="shared" si="20"/>
        <v>1</v>
      </c>
    </row>
    <row r="429" spans="1:14" ht="13.8" x14ac:dyDescent="0.3">
      <c r="A429" s="255" t="str">
        <f>výpočty!$R$15</f>
        <v>Poziomy (z lewej strony na prawą)</v>
      </c>
      <c r="B429" t="str">
        <f>výpočty!$R$11</f>
        <v>Z mecjanizmem C3</v>
      </c>
      <c r="C429" t="str">
        <f>výpočty!$R$4</f>
        <v>Classic - wpuszczany do zafrezowania</v>
      </c>
      <c r="D429" s="36" t="str">
        <f>výpočty!$W$15</f>
        <v>Aluminowa plastik (E4)</v>
      </c>
      <c r="E429" t="s">
        <v>2130</v>
      </c>
      <c r="F429">
        <v>1</v>
      </c>
      <c r="G429" s="321" t="str">
        <f>Překlady!$A$143</f>
        <v>Kolor aluminium plastik w profilu E4 jest idealny do poziomych rozwiązań w kombinacji z prowadzeniem Classic z systemem nawijania do tyłu</v>
      </c>
      <c r="H429" t="str">
        <f>VLOOKUP(A:A,výpočty!$R$14:$S$15,2,FALSE)</f>
        <v>H</v>
      </c>
      <c r="I429" t="str">
        <f>VLOOKUP(B:B,výpočty!$R$9:$S$11,2,FALSE)</f>
        <v>Z</v>
      </c>
      <c r="J429" t="str">
        <f>VLOOKUP(CHYBY!C:C,výpočty!$R$3:$S$7,2,FALSE)</f>
        <v>B</v>
      </c>
      <c r="K429">
        <f>VLOOKUP(D:D,výpočty!$W$3:$X$20,2,FALSE)</f>
        <v>13</v>
      </c>
      <c r="L429" t="str">
        <f t="shared" si="18"/>
        <v>HZB13</v>
      </c>
      <c r="M429" t="str">
        <f t="shared" si="19"/>
        <v>Kolor aluminium plastik w profilu E4 jest idealny do poziomych rozwiązań w kombinacji z prowadzeniem Classic z systemem nawijania do tyłu</v>
      </c>
      <c r="N429">
        <f t="shared" si="20"/>
        <v>1</v>
      </c>
    </row>
    <row r="430" spans="1:14" ht="13.8" x14ac:dyDescent="0.3">
      <c r="A430" s="255" t="str">
        <f>výpočty!$R$15</f>
        <v>Poziomy (z lewej strony na prawą)</v>
      </c>
      <c r="B430" t="str">
        <f>výpočty!$R$11</f>
        <v>Z mecjanizmem C3</v>
      </c>
      <c r="C430" t="str">
        <f>výpočty!$R$4</f>
        <v>Classic - wpuszczany do zafrezowania</v>
      </c>
      <c r="D430" s="36">
        <f>výpočty!$W$17</f>
        <v>0</v>
      </c>
      <c r="E430" t="s">
        <v>2130</v>
      </c>
      <c r="F430">
        <v>1</v>
      </c>
      <c r="G430" t="str">
        <f>Překlady!$A$154</f>
        <v>Mechanizmu C3 nie da się zastosować przy poziomym ruchu żaluzji.</v>
      </c>
      <c r="H430" t="str">
        <f>VLOOKUP(A:A,výpočty!$R$14:$S$15,2,FALSE)</f>
        <v>H</v>
      </c>
      <c r="I430" t="str">
        <f>VLOOKUP(B:B,výpočty!$R$9:$S$11,2,FALSE)</f>
        <v>Z</v>
      </c>
      <c r="J430" t="str">
        <f>VLOOKUP(CHYBY!C:C,výpočty!$R$3:$S$7,2,FALSE)</f>
        <v>B</v>
      </c>
      <c r="K430" t="e">
        <f>VLOOKUP(D:D,výpočty!$W$3:$X$20,2,FALSE)</f>
        <v>#N/A</v>
      </c>
      <c r="L430" t="e">
        <f t="shared" si="18"/>
        <v>#N/A</v>
      </c>
      <c r="M430" t="str">
        <f t="shared" si="19"/>
        <v>Mechanizmu C3 nie da się zastosować przy poziomym ruchu żaluzji.</v>
      </c>
      <c r="N430">
        <f t="shared" si="20"/>
        <v>1</v>
      </c>
    </row>
    <row r="431" spans="1:14" ht="13.8" x14ac:dyDescent="0.3">
      <c r="A431" s="255" t="str">
        <f>výpočty!$R$15</f>
        <v>Poziomy (z lewej strony na prawą)</v>
      </c>
      <c r="B431" t="str">
        <f>výpočty!$R$11</f>
        <v>Z mecjanizmem C3</v>
      </c>
      <c r="C431" t="str">
        <f>výpočty!$R$4</f>
        <v>Classic - wpuszczany do zafrezowania</v>
      </c>
      <c r="D431" s="36">
        <f>výpočty!$W$18</f>
        <v>0</v>
      </c>
      <c r="E431" t="s">
        <v>2130</v>
      </c>
      <c r="F431">
        <v>1</v>
      </c>
      <c r="G431" t="str">
        <f>Překlady!$A$154</f>
        <v>Mechanizmu C3 nie da się zastosować przy poziomym ruchu żaluzji.</v>
      </c>
      <c r="H431" t="str">
        <f>VLOOKUP(A:A,výpočty!$R$14:$S$15,2,FALSE)</f>
        <v>H</v>
      </c>
      <c r="I431" t="str">
        <f>VLOOKUP(B:B,výpočty!$R$9:$S$11,2,FALSE)</f>
        <v>Z</v>
      </c>
      <c r="J431" t="str">
        <f>VLOOKUP(CHYBY!C:C,výpočty!$R$3:$S$7,2,FALSE)</f>
        <v>B</v>
      </c>
      <c r="K431" t="e">
        <f>VLOOKUP(D:D,výpočty!$W$3:$X$20,2,FALSE)</f>
        <v>#N/A</v>
      </c>
      <c r="L431" t="e">
        <f t="shared" si="18"/>
        <v>#N/A</v>
      </c>
      <c r="M431" t="str">
        <f t="shared" si="19"/>
        <v>Mechanizmu C3 nie da się zastosować przy poziomym ruchu żaluzji.</v>
      </c>
      <c r="N431">
        <f t="shared" si="20"/>
        <v>1</v>
      </c>
    </row>
    <row r="432" spans="1:14" ht="13.8" x14ac:dyDescent="0.3">
      <c r="A432" s="255" t="str">
        <f>výpočty!$R$15</f>
        <v>Poziomy (z lewej strony na prawą)</v>
      </c>
      <c r="B432" t="str">
        <f>výpočty!$R$11</f>
        <v>Z mecjanizmem C3</v>
      </c>
      <c r="C432" t="str">
        <f>výpočty!$R$4</f>
        <v>Classic - wpuszczany do zafrezowania</v>
      </c>
      <c r="D432" s="36" t="str">
        <f>výpočty!$W$19</f>
        <v>Aluminium szerokość 25 mm (metallic-line)</v>
      </c>
      <c r="E432" t="s">
        <v>2130</v>
      </c>
      <c r="F432">
        <v>1</v>
      </c>
      <c r="G432" t="str">
        <f>Překlady!$A$154</f>
        <v>Mechanizmu C3 nie da się zastosować przy poziomym ruchu żaluzji.</v>
      </c>
      <c r="H432" t="str">
        <f>VLOOKUP(A:A,výpočty!$R$14:$S$15,2,FALSE)</f>
        <v>H</v>
      </c>
      <c r="I432" t="str">
        <f>VLOOKUP(B:B,výpočty!$R$9:$S$11,2,FALSE)</f>
        <v>Z</v>
      </c>
      <c r="J432" t="str">
        <f>VLOOKUP(CHYBY!C:C,výpočty!$R$3:$S$7,2,FALSE)</f>
        <v>B</v>
      </c>
      <c r="K432">
        <f>VLOOKUP(D:D,výpočty!$W$3:$X$20,2,FALSE)</f>
        <v>17</v>
      </c>
      <c r="L432" t="str">
        <f t="shared" si="18"/>
        <v>HZB17</v>
      </c>
      <c r="M432" t="str">
        <f t="shared" si="19"/>
        <v>Mechanizmu C3 nie da się zastosować przy poziomym ruchu żaluzji.</v>
      </c>
      <c r="N432">
        <f t="shared" si="20"/>
        <v>1</v>
      </c>
    </row>
    <row r="433" spans="1:14" ht="14.4" thickBot="1" x14ac:dyDescent="0.35">
      <c r="A433" s="255" t="str">
        <f>výpočty!$R$15</f>
        <v>Poziomy (z lewej strony na prawą)</v>
      </c>
      <c r="B433" t="str">
        <f>výpočty!$R$11</f>
        <v>Z mecjanizmem C3</v>
      </c>
      <c r="C433" t="str">
        <f>výpočty!$R$4</f>
        <v>Classic - wpuszczany do zafrezowania</v>
      </c>
      <c r="D433" s="27" t="str">
        <f>výpočty!$W$20</f>
        <v>Nierdz. szerokość 25 mm (metallic-line)</v>
      </c>
      <c r="E433" t="s">
        <v>2130</v>
      </c>
      <c r="F433">
        <v>1</v>
      </c>
      <c r="G433" t="str">
        <f>Překlady!$A$154</f>
        <v>Mechanizmu C3 nie da się zastosować przy poziomym ruchu żaluzji.</v>
      </c>
      <c r="H433" t="str">
        <f>VLOOKUP(A:A,výpočty!$R$14:$S$15,2,FALSE)</f>
        <v>H</v>
      </c>
      <c r="I433" t="str">
        <f>VLOOKUP(B:B,výpočty!$R$9:$S$11,2,FALSE)</f>
        <v>Z</v>
      </c>
      <c r="J433" t="str">
        <f>VLOOKUP(CHYBY!C:C,výpočty!$R$3:$S$7,2,FALSE)</f>
        <v>B</v>
      </c>
      <c r="K433">
        <f>VLOOKUP(D:D,výpočty!$W$3:$X$20,2,FALSE)</f>
        <v>18</v>
      </c>
      <c r="L433" t="str">
        <f t="shared" si="18"/>
        <v>HZB18</v>
      </c>
      <c r="M433" t="str">
        <f t="shared" si="19"/>
        <v>Mechanizmu C3 nie da się zastosować przy poziomym ruchu żaluzji.</v>
      </c>
      <c r="N433">
        <f t="shared" si="20"/>
        <v>1</v>
      </c>
    </row>
    <row r="434" spans="1:14" ht="13.8" x14ac:dyDescent="0.3">
      <c r="A434" s="255" t="str">
        <f>výpočty!$R$15</f>
        <v>Poziomy (z lewej strony na prawą)</v>
      </c>
      <c r="B434" t="str">
        <f>výpočty!$R$11</f>
        <v>Z mecjanizmem C3</v>
      </c>
      <c r="C434" t="str">
        <f>výpočty!$R$5</f>
        <v>Frame - nakładany z listwą maskującą</v>
      </c>
      <c r="D434" s="26" t="str">
        <f>výpočty!$W$3</f>
        <v>Czarny (E23)</v>
      </c>
      <c r="E434" t="s">
        <v>2130</v>
      </c>
      <c r="F434">
        <v>1</v>
      </c>
      <c r="G434" t="str">
        <f>Překlady!$A$154</f>
        <v>Mechanizmu C3 nie da się zastosować przy poziomym ruchu żaluzji.</v>
      </c>
      <c r="H434" t="str">
        <f>VLOOKUP(A:A,výpočty!$R$14:$S$15,2,FALSE)</f>
        <v>H</v>
      </c>
      <c r="I434" t="str">
        <f>VLOOKUP(B:B,výpočty!$R$9:$S$11,2,FALSE)</f>
        <v>Z</v>
      </c>
      <c r="J434" t="str">
        <f>VLOOKUP(CHYBY!C:C,výpočty!$R$3:$S$7,2,FALSE)</f>
        <v>C</v>
      </c>
      <c r="K434">
        <f>VLOOKUP(D:D,výpočty!$W$3:$X$20,2,FALSE)</f>
        <v>1</v>
      </c>
      <c r="L434" t="str">
        <f t="shared" si="18"/>
        <v>HZC1</v>
      </c>
      <c r="M434" t="str">
        <f t="shared" si="19"/>
        <v>Mechanizmu C3 nie da się zastosować przy poziomym ruchu żaluzji.</v>
      </c>
      <c r="N434">
        <f t="shared" si="20"/>
        <v>1</v>
      </c>
    </row>
    <row r="435" spans="1:14" ht="13.8" x14ac:dyDescent="0.3">
      <c r="A435" s="255" t="str">
        <f>výpočty!$R$15</f>
        <v>Poziomy (z lewej strony na prawą)</v>
      </c>
      <c r="B435" t="str">
        <f>výpočty!$R$11</f>
        <v>Z mecjanizmem C3</v>
      </c>
      <c r="C435" t="str">
        <f>výpočty!$R$5</f>
        <v>Frame - nakładany z listwą maskującą</v>
      </c>
      <c r="D435" s="36" t="str">
        <f>výpočty!$W$4</f>
        <v>Biały (E23)</v>
      </c>
      <c r="E435" t="s">
        <v>2130</v>
      </c>
      <c r="F435">
        <v>1</v>
      </c>
      <c r="G435" t="str">
        <f>Překlady!$A$154</f>
        <v>Mechanizmu C3 nie da się zastosować przy poziomym ruchu żaluzji.</v>
      </c>
      <c r="H435" t="str">
        <f>VLOOKUP(A:A,výpočty!$R$14:$S$15,2,FALSE)</f>
        <v>H</v>
      </c>
      <c r="I435" t="str">
        <f>VLOOKUP(B:B,výpočty!$R$9:$S$11,2,FALSE)</f>
        <v>Z</v>
      </c>
      <c r="J435" t="str">
        <f>VLOOKUP(CHYBY!C:C,výpočty!$R$3:$S$7,2,FALSE)</f>
        <v>C</v>
      </c>
      <c r="K435">
        <f>VLOOKUP(D:D,výpočty!$W$3:$X$20,2,FALSE)</f>
        <v>2</v>
      </c>
      <c r="L435" t="str">
        <f t="shared" si="18"/>
        <v>HZC2</v>
      </c>
      <c r="M435" t="str">
        <f t="shared" si="19"/>
        <v>Mechanizmu C3 nie da się zastosować przy poziomym ruchu żaluzji.</v>
      </c>
      <c r="N435">
        <f t="shared" si="20"/>
        <v>1</v>
      </c>
    </row>
    <row r="436" spans="1:14" ht="13.8" x14ac:dyDescent="0.3">
      <c r="A436" s="255" t="str">
        <f>výpočty!$R$15</f>
        <v>Poziomy (z lewej strony na prawą)</v>
      </c>
      <c r="B436" t="str">
        <f>výpočty!$R$11</f>
        <v>Z mecjanizmem C3</v>
      </c>
      <c r="C436" t="str">
        <f>výpočty!$R$5</f>
        <v>Frame - nakładany z listwą maskującą</v>
      </c>
      <c r="D436" s="36" t="str">
        <f>výpočty!$W$5</f>
        <v>Szary (E23)</v>
      </c>
      <c r="E436" t="s">
        <v>2130</v>
      </c>
      <c r="F436">
        <v>1</v>
      </c>
      <c r="G436" t="str">
        <f>Překlady!$A$154</f>
        <v>Mechanizmu C3 nie da się zastosować przy poziomym ruchu żaluzji.</v>
      </c>
      <c r="H436" t="str">
        <f>VLOOKUP(A:A,výpočty!$R$14:$S$15,2,FALSE)</f>
        <v>H</v>
      </c>
      <c r="I436" t="str">
        <f>VLOOKUP(B:B,výpočty!$R$9:$S$11,2,FALSE)</f>
        <v>Z</v>
      </c>
      <c r="J436" t="str">
        <f>VLOOKUP(CHYBY!C:C,výpočty!$R$3:$S$7,2,FALSE)</f>
        <v>C</v>
      </c>
      <c r="K436">
        <f>VLOOKUP(D:D,výpočty!$W$3:$X$20,2,FALSE)</f>
        <v>3</v>
      </c>
      <c r="L436" t="str">
        <f t="shared" si="18"/>
        <v>HZC3</v>
      </c>
      <c r="M436" t="str">
        <f t="shared" si="19"/>
        <v>Mechanizmu C3 nie da się zastosować przy poziomym ruchu żaluzji.</v>
      </c>
      <c r="N436">
        <f t="shared" si="20"/>
        <v>1</v>
      </c>
    </row>
    <row r="437" spans="1:14" ht="13.8" x14ac:dyDescent="0.3">
      <c r="A437" s="255" t="str">
        <f>výpočty!$R$15</f>
        <v>Poziomy (z lewej strony na prawą)</v>
      </c>
      <c r="B437" t="str">
        <f>výpočty!$R$11</f>
        <v>Z mecjanizmem C3</v>
      </c>
      <c r="C437" t="str">
        <f>výpočty!$R$5</f>
        <v>Frame - nakładany z listwą maskującą</v>
      </c>
      <c r="D437" s="36" t="str">
        <f>výpočty!$W$6</f>
        <v>Aluminowa plastik (E23)</v>
      </c>
      <c r="E437" t="s">
        <v>2130</v>
      </c>
      <c r="F437">
        <v>1</v>
      </c>
      <c r="G437" t="str">
        <f>Překlady!$A$154</f>
        <v>Mechanizmu C3 nie da się zastosować przy poziomym ruchu żaluzji.</v>
      </c>
      <c r="H437" t="str">
        <f>VLOOKUP(A:A,výpočty!$R$14:$S$15,2,FALSE)</f>
        <v>H</v>
      </c>
      <c r="I437" t="str">
        <f>VLOOKUP(B:B,výpočty!$R$9:$S$11,2,FALSE)</f>
        <v>Z</v>
      </c>
      <c r="J437" t="str">
        <f>VLOOKUP(CHYBY!C:C,výpočty!$R$3:$S$7,2,FALSE)</f>
        <v>C</v>
      </c>
      <c r="K437">
        <f>VLOOKUP(D:D,výpočty!$W$3:$X$20,2,FALSE)</f>
        <v>4</v>
      </c>
      <c r="L437" t="str">
        <f t="shared" si="18"/>
        <v>HZC4</v>
      </c>
      <c r="M437" t="str">
        <f t="shared" si="19"/>
        <v>Mechanizmu C3 nie da się zastosować przy poziomym ruchu żaluzji.</v>
      </c>
      <c r="N437">
        <f t="shared" si="20"/>
        <v>1</v>
      </c>
    </row>
    <row r="438" spans="1:14" ht="13.8" x14ac:dyDescent="0.3">
      <c r="A438" s="255" t="str">
        <f>výpočty!$R$15</f>
        <v>Poziomy (z lewej strony na prawą)</v>
      </c>
      <c r="B438" t="str">
        <f>výpočty!$R$11</f>
        <v>Z mecjanizmem C3</v>
      </c>
      <c r="C438" t="str">
        <f>výpočty!$R$5</f>
        <v>Frame - nakładany z listwą maskującą</v>
      </c>
      <c r="D438" s="36" t="str">
        <f>výpočty!$W$7</f>
        <v>Buk (E23)</v>
      </c>
      <c r="E438" t="s">
        <v>2130</v>
      </c>
      <c r="F438">
        <v>1</v>
      </c>
      <c r="G438" t="str">
        <f>Překlady!$A$154</f>
        <v>Mechanizmu C3 nie da się zastosować przy poziomym ruchu żaluzji.</v>
      </c>
      <c r="H438" t="str">
        <f>VLOOKUP(A:A,výpočty!$R$14:$S$15,2,FALSE)</f>
        <v>H</v>
      </c>
      <c r="I438" t="str">
        <f>VLOOKUP(B:B,výpočty!$R$9:$S$11,2,FALSE)</f>
        <v>Z</v>
      </c>
      <c r="J438" t="str">
        <f>VLOOKUP(CHYBY!C:C,výpočty!$R$3:$S$7,2,FALSE)</f>
        <v>C</v>
      </c>
      <c r="K438">
        <f>VLOOKUP(D:D,výpočty!$W$3:$X$20,2,FALSE)</f>
        <v>5</v>
      </c>
      <c r="L438" t="str">
        <f t="shared" si="18"/>
        <v>HZC5</v>
      </c>
      <c r="M438" t="str">
        <f t="shared" si="19"/>
        <v>Mechanizmu C3 nie da się zastosować przy poziomym ruchu żaluzji.</v>
      </c>
      <c r="N438">
        <f t="shared" si="20"/>
        <v>1</v>
      </c>
    </row>
    <row r="439" spans="1:14" ht="13.8" x14ac:dyDescent="0.3">
      <c r="A439" s="255" t="str">
        <f>výpočty!$R$15</f>
        <v>Poziomy (z lewej strony na prawą)</v>
      </c>
      <c r="B439" t="str">
        <f>výpočty!$R$11</f>
        <v>Z mecjanizmem C3</v>
      </c>
      <c r="C439" t="str">
        <f>výpočty!$R$5</f>
        <v>Frame - nakładany z listwą maskującą</v>
      </c>
      <c r="D439" s="36" t="str">
        <f>výpočty!$W$8</f>
        <v>Czereśnia (E23)</v>
      </c>
      <c r="E439" t="s">
        <v>2130</v>
      </c>
      <c r="F439">
        <v>1</v>
      </c>
      <c r="G439" t="str">
        <f>Překlady!$A$154</f>
        <v>Mechanizmu C3 nie da się zastosować przy poziomym ruchu żaluzji.</v>
      </c>
      <c r="H439" t="str">
        <f>VLOOKUP(A:A,výpočty!$R$14:$S$15,2,FALSE)</f>
        <v>H</v>
      </c>
      <c r="I439" t="str">
        <f>VLOOKUP(B:B,výpočty!$R$9:$S$11,2,FALSE)</f>
        <v>Z</v>
      </c>
      <c r="J439" t="str">
        <f>VLOOKUP(CHYBY!C:C,výpočty!$R$3:$S$7,2,FALSE)</f>
        <v>C</v>
      </c>
      <c r="K439">
        <f>VLOOKUP(D:D,výpočty!$W$3:$X$20,2,FALSE)</f>
        <v>6</v>
      </c>
      <c r="L439" t="str">
        <f t="shared" si="18"/>
        <v>HZC6</v>
      </c>
      <c r="M439" t="str">
        <f t="shared" si="19"/>
        <v>Mechanizmu C3 nie da się zastosować przy poziomym ruchu żaluzji.</v>
      </c>
      <c r="N439">
        <f t="shared" si="20"/>
        <v>1</v>
      </c>
    </row>
    <row r="440" spans="1:14" ht="13.8" x14ac:dyDescent="0.3">
      <c r="A440" s="255" t="str">
        <f>výpočty!$R$15</f>
        <v>Poziomy (z lewej strony na prawą)</v>
      </c>
      <c r="B440" t="str">
        <f>výpočty!$R$11</f>
        <v>Z mecjanizmem C3</v>
      </c>
      <c r="C440" t="str">
        <f>výpočty!$R$5</f>
        <v>Frame - nakładany z listwą maskującą</v>
      </c>
      <c r="D440" s="36" t="str">
        <f>výpočty!$W$9</f>
        <v>Klon (E23)</v>
      </c>
      <c r="E440" t="s">
        <v>2130</v>
      </c>
      <c r="F440">
        <v>1</v>
      </c>
      <c r="G440" t="str">
        <f>Překlady!$A$154</f>
        <v>Mechanizmu C3 nie da się zastosować przy poziomym ruchu żaluzji.</v>
      </c>
      <c r="H440" t="str">
        <f>VLOOKUP(A:A,výpočty!$R$14:$S$15,2,FALSE)</f>
        <v>H</v>
      </c>
      <c r="I440" t="str">
        <f>VLOOKUP(B:B,výpočty!$R$9:$S$11,2,FALSE)</f>
        <v>Z</v>
      </c>
      <c r="J440" t="str">
        <f>VLOOKUP(CHYBY!C:C,výpočty!$R$3:$S$7,2,FALSE)</f>
        <v>C</v>
      </c>
      <c r="K440">
        <f>VLOOKUP(D:D,výpočty!$W$3:$X$20,2,FALSE)</f>
        <v>7</v>
      </c>
      <c r="L440" t="str">
        <f t="shared" si="18"/>
        <v>HZC7</v>
      </c>
      <c r="M440" t="str">
        <f t="shared" si="19"/>
        <v>Mechanizmu C3 nie da się zastosować przy poziomym ruchu żaluzji.</v>
      </c>
      <c r="N440">
        <f t="shared" si="20"/>
        <v>1</v>
      </c>
    </row>
    <row r="441" spans="1:14" ht="13.8" x14ac:dyDescent="0.3">
      <c r="A441" s="255" t="str">
        <f>výpočty!$R$15</f>
        <v>Poziomy (z lewej strony na prawą)</v>
      </c>
      <c r="B441" t="str">
        <f>výpočty!$R$11</f>
        <v>Z mecjanizmem C3</v>
      </c>
      <c r="C441" t="str">
        <f>výpočty!$R$5</f>
        <v>Frame - nakładany z listwą maskującą</v>
      </c>
      <c r="D441" s="36" t="str">
        <f>výpočty!$W$10</f>
        <v>Brzoza (E23)</v>
      </c>
      <c r="E441" t="s">
        <v>2130</v>
      </c>
      <c r="F441">
        <v>1</v>
      </c>
      <c r="G441" t="str">
        <f>Překlady!$A$154</f>
        <v>Mechanizmu C3 nie da się zastosować przy poziomym ruchu żaluzji.</v>
      </c>
      <c r="H441" t="str">
        <f>VLOOKUP(A:A,výpočty!$R$14:$S$15,2,FALSE)</f>
        <v>H</v>
      </c>
      <c r="I441" t="str">
        <f>VLOOKUP(B:B,výpočty!$R$9:$S$11,2,FALSE)</f>
        <v>Z</v>
      </c>
      <c r="J441" t="str">
        <f>VLOOKUP(CHYBY!C:C,výpočty!$R$3:$S$7,2,FALSE)</f>
        <v>C</v>
      </c>
      <c r="K441">
        <f>VLOOKUP(D:D,výpočty!$W$3:$X$20,2,FALSE)</f>
        <v>8</v>
      </c>
      <c r="L441" t="str">
        <f t="shared" si="18"/>
        <v>HZC8</v>
      </c>
      <c r="M441" t="str">
        <f t="shared" si="19"/>
        <v>Mechanizmu C3 nie da się zastosować przy poziomym ruchu żaluzji.</v>
      </c>
      <c r="N441">
        <f t="shared" si="20"/>
        <v>1</v>
      </c>
    </row>
    <row r="442" spans="1:14" ht="13.8" x14ac:dyDescent="0.3">
      <c r="A442" s="255" t="str">
        <f>výpočty!$R$15</f>
        <v>Poziomy (z lewej strony na prawą)</v>
      </c>
      <c r="B442" t="str">
        <f>výpočty!$R$11</f>
        <v>Z mecjanizmem C3</v>
      </c>
      <c r="C442" t="str">
        <f>výpočty!$R$5</f>
        <v>Frame - nakładany z listwą maskującą</v>
      </c>
      <c r="D442" s="36" t="str">
        <f>výpočty!$W$11</f>
        <v>Czereśnia havana (E23)</v>
      </c>
      <c r="E442" t="s">
        <v>2130</v>
      </c>
      <c r="F442">
        <v>1</v>
      </c>
      <c r="G442" t="str">
        <f>Překlady!$A$154</f>
        <v>Mechanizmu C3 nie da się zastosować przy poziomym ruchu żaluzji.</v>
      </c>
      <c r="H442" t="str">
        <f>VLOOKUP(A:A,výpočty!$R$14:$S$15,2,FALSE)</f>
        <v>H</v>
      </c>
      <c r="I442" t="str">
        <f>VLOOKUP(B:B,výpočty!$R$9:$S$11,2,FALSE)</f>
        <v>Z</v>
      </c>
      <c r="J442" t="str">
        <f>VLOOKUP(CHYBY!C:C,výpočty!$R$3:$S$7,2,FALSE)</f>
        <v>C</v>
      </c>
      <c r="K442">
        <f>VLOOKUP(D:D,výpočty!$W$3:$X$20,2,FALSE)</f>
        <v>9</v>
      </c>
      <c r="L442" t="str">
        <f t="shared" si="18"/>
        <v>HZC9</v>
      </c>
      <c r="M442" t="str">
        <f t="shared" si="19"/>
        <v>Mechanizmu C3 nie da się zastosować przy poziomym ruchu żaluzji.</v>
      </c>
      <c r="N442">
        <f t="shared" si="20"/>
        <v>1</v>
      </c>
    </row>
    <row r="443" spans="1:14" ht="13.8" x14ac:dyDescent="0.3">
      <c r="A443" s="255" t="str">
        <f>výpočty!$R$15</f>
        <v>Poziomy (z lewej strony na prawą)</v>
      </c>
      <c r="B443" t="str">
        <f>výpočty!$R$11</f>
        <v>Z mecjanizmem C3</v>
      </c>
      <c r="C443" t="str">
        <f>výpočty!$R$5</f>
        <v>Frame - nakładany z listwą maskującą</v>
      </c>
      <c r="D443" s="36" t="str">
        <f>výpočty!$W$12</f>
        <v>Calvados (E23)</v>
      </c>
      <c r="E443" t="s">
        <v>2130</v>
      </c>
      <c r="F443">
        <v>1</v>
      </c>
      <c r="G443" t="str">
        <f>Překlady!$A$154</f>
        <v>Mechanizmu C3 nie da się zastosować przy poziomym ruchu żaluzji.</v>
      </c>
      <c r="H443" t="str">
        <f>VLOOKUP(A:A,výpočty!$R$14:$S$15,2,FALSE)</f>
        <v>H</v>
      </c>
      <c r="I443" t="str">
        <f>VLOOKUP(B:B,výpočty!$R$9:$S$11,2,FALSE)</f>
        <v>Z</v>
      </c>
      <c r="J443" t="str">
        <f>VLOOKUP(CHYBY!C:C,výpočty!$R$3:$S$7,2,FALSE)</f>
        <v>C</v>
      </c>
      <c r="K443">
        <f>VLOOKUP(D:D,výpočty!$W$3:$X$20,2,FALSE)</f>
        <v>10</v>
      </c>
      <c r="L443" t="str">
        <f t="shared" si="18"/>
        <v>HZC10</v>
      </c>
      <c r="M443" t="str">
        <f t="shared" si="19"/>
        <v>Mechanizmu C3 nie da się zastosować przy poziomym ruchu żaluzji.</v>
      </c>
      <c r="N443">
        <f t="shared" si="20"/>
        <v>1</v>
      </c>
    </row>
    <row r="444" spans="1:14" ht="13.8" x14ac:dyDescent="0.3">
      <c r="A444" s="255" t="str">
        <f>výpočty!$R$15</f>
        <v>Poziomy (z lewej strony na prawą)</v>
      </c>
      <c r="B444" t="str">
        <f>výpočty!$R$11</f>
        <v>Z mecjanizmem C3</v>
      </c>
      <c r="C444" t="str">
        <f>výpočty!$R$5</f>
        <v>Frame - nakładany z listwą maskującą</v>
      </c>
      <c r="D444" s="36" t="str">
        <f>výpočty!$W$14</f>
        <v>śnieżno biala mat (E9)</v>
      </c>
      <c r="E444" t="s">
        <v>2130</v>
      </c>
      <c r="F444">
        <v>1</v>
      </c>
      <c r="G444" t="str">
        <f>Překlady!$A$154</f>
        <v>Mechanizmu C3 nie da się zastosować przy poziomym ruchu żaluzji.</v>
      </c>
      <c r="H444" t="str">
        <f>VLOOKUP(A:A,výpočty!$R$14:$S$15,2,FALSE)</f>
        <v>H</v>
      </c>
      <c r="I444" t="str">
        <f>VLOOKUP(B:B,výpočty!$R$9:$S$11,2,FALSE)</f>
        <v>Z</v>
      </c>
      <c r="J444" t="str">
        <f>VLOOKUP(CHYBY!C:C,výpočty!$R$3:$S$7,2,FALSE)</f>
        <v>C</v>
      </c>
      <c r="K444">
        <f>VLOOKUP(D:D,výpočty!$W$3:$X$20,2,FALSE)</f>
        <v>12</v>
      </c>
      <c r="L444" t="str">
        <f t="shared" si="18"/>
        <v>HZC12</v>
      </c>
      <c r="M444" t="str">
        <f t="shared" si="19"/>
        <v>Mechanizmu C3 nie da się zastosować przy poziomym ruchu żaluzji.</v>
      </c>
      <c r="N444">
        <f t="shared" si="20"/>
        <v>1</v>
      </c>
    </row>
    <row r="445" spans="1:14" ht="13.8" x14ac:dyDescent="0.3">
      <c r="A445" s="255" t="str">
        <f>výpočty!$R$15</f>
        <v>Poziomy (z lewej strony na prawą)</v>
      </c>
      <c r="B445" t="str">
        <f>výpočty!$R$11</f>
        <v>Z mecjanizmem C3</v>
      </c>
      <c r="C445" t="str">
        <f>výpočty!$R$5</f>
        <v>Frame - nakładany z listwą maskującą</v>
      </c>
      <c r="D445" s="36" t="str">
        <f>výpočty!$W$15</f>
        <v>Aluminowa plastik (E4)</v>
      </c>
      <c r="E445" t="s">
        <v>2130</v>
      </c>
      <c r="F445">
        <v>1</v>
      </c>
      <c r="G445" s="321" t="str">
        <f>Překlady!$A$143</f>
        <v>Kolor aluminium plastik w profilu E4 jest idealny do poziomych rozwiązań w kombinacji z prowadzeniem Classic z systemem nawijania do tyłu</v>
      </c>
      <c r="H445" t="str">
        <f>VLOOKUP(A:A,výpočty!$R$14:$S$15,2,FALSE)</f>
        <v>H</v>
      </c>
      <c r="I445" t="str">
        <f>VLOOKUP(B:B,výpočty!$R$9:$S$11,2,FALSE)</f>
        <v>Z</v>
      </c>
      <c r="J445" t="str">
        <f>VLOOKUP(CHYBY!C:C,výpočty!$R$3:$S$7,2,FALSE)</f>
        <v>C</v>
      </c>
      <c r="K445">
        <f>VLOOKUP(D:D,výpočty!$W$3:$X$20,2,FALSE)</f>
        <v>13</v>
      </c>
      <c r="L445" t="str">
        <f t="shared" si="18"/>
        <v>HZC13</v>
      </c>
      <c r="M445" t="str">
        <f t="shared" si="19"/>
        <v>Kolor aluminium plastik w profilu E4 jest idealny do poziomych rozwiązań w kombinacji z prowadzeniem Classic z systemem nawijania do tyłu</v>
      </c>
      <c r="N445">
        <f t="shared" si="20"/>
        <v>1</v>
      </c>
    </row>
    <row r="446" spans="1:14" ht="13.8" x14ac:dyDescent="0.3">
      <c r="A446" s="255" t="str">
        <f>výpočty!$R$15</f>
        <v>Poziomy (z lewej strony na prawą)</v>
      </c>
      <c r="B446" t="str">
        <f>výpočty!$R$11</f>
        <v>Z mecjanizmem C3</v>
      </c>
      <c r="C446" t="str">
        <f>výpočty!$R$5</f>
        <v>Frame - nakładany z listwą maskującą</v>
      </c>
      <c r="D446" s="36">
        <f>výpočty!$W$17</f>
        <v>0</v>
      </c>
      <c r="E446" t="s">
        <v>2130</v>
      </c>
      <c r="F446">
        <v>1</v>
      </c>
      <c r="G446" t="str">
        <f>Překlady!$A$154</f>
        <v>Mechanizmu C3 nie da się zastosować przy poziomym ruchu żaluzji.</v>
      </c>
      <c r="H446" t="str">
        <f>VLOOKUP(A:A,výpočty!$R$14:$S$15,2,FALSE)</f>
        <v>H</v>
      </c>
      <c r="I446" t="str">
        <f>VLOOKUP(B:B,výpočty!$R$9:$S$11,2,FALSE)</f>
        <v>Z</v>
      </c>
      <c r="J446" t="str">
        <f>VLOOKUP(CHYBY!C:C,výpočty!$R$3:$S$7,2,FALSE)</f>
        <v>C</v>
      </c>
      <c r="K446" t="e">
        <f>VLOOKUP(D:D,výpočty!$W$3:$X$20,2,FALSE)</f>
        <v>#N/A</v>
      </c>
      <c r="L446" t="e">
        <f t="shared" si="18"/>
        <v>#N/A</v>
      </c>
      <c r="M446" t="str">
        <f t="shared" si="19"/>
        <v>Mechanizmu C3 nie da się zastosować przy poziomym ruchu żaluzji.</v>
      </c>
      <c r="N446">
        <f t="shared" si="20"/>
        <v>1</v>
      </c>
    </row>
    <row r="447" spans="1:14" ht="13.8" x14ac:dyDescent="0.3">
      <c r="A447" s="255" t="str">
        <f>výpočty!$R$15</f>
        <v>Poziomy (z lewej strony na prawą)</v>
      </c>
      <c r="B447" t="str">
        <f>výpočty!$R$11</f>
        <v>Z mecjanizmem C3</v>
      </c>
      <c r="C447" t="str">
        <f>výpočty!$R$5</f>
        <v>Frame - nakładany z listwą maskującą</v>
      </c>
      <c r="D447" s="36">
        <f>výpočty!$W$18</f>
        <v>0</v>
      </c>
      <c r="E447" t="s">
        <v>2130</v>
      </c>
      <c r="F447">
        <v>1</v>
      </c>
      <c r="G447" t="str">
        <f>Překlady!$A$154</f>
        <v>Mechanizmu C3 nie da się zastosować przy poziomym ruchu żaluzji.</v>
      </c>
      <c r="H447" t="str">
        <f>VLOOKUP(A:A,výpočty!$R$14:$S$15,2,FALSE)</f>
        <v>H</v>
      </c>
      <c r="I447" t="str">
        <f>VLOOKUP(B:B,výpočty!$R$9:$S$11,2,FALSE)</f>
        <v>Z</v>
      </c>
      <c r="J447" t="str">
        <f>VLOOKUP(CHYBY!C:C,výpočty!$R$3:$S$7,2,FALSE)</f>
        <v>C</v>
      </c>
      <c r="K447" t="e">
        <f>VLOOKUP(D:D,výpočty!$W$3:$X$20,2,FALSE)</f>
        <v>#N/A</v>
      </c>
      <c r="L447" t="e">
        <f t="shared" si="18"/>
        <v>#N/A</v>
      </c>
      <c r="M447" t="str">
        <f t="shared" si="19"/>
        <v>Mechanizmu C3 nie da się zastosować przy poziomym ruchu żaluzji.</v>
      </c>
      <c r="N447">
        <f t="shared" si="20"/>
        <v>1</v>
      </c>
    </row>
    <row r="448" spans="1:14" ht="13.8" x14ac:dyDescent="0.3">
      <c r="A448" s="255" t="str">
        <f>výpočty!$R$15</f>
        <v>Poziomy (z lewej strony na prawą)</v>
      </c>
      <c r="B448" t="str">
        <f>výpočty!$R$11</f>
        <v>Z mecjanizmem C3</v>
      </c>
      <c r="C448" t="str">
        <f>výpočty!$R$5</f>
        <v>Frame - nakładany z listwą maskującą</v>
      </c>
      <c r="D448" s="36" t="str">
        <f>výpočty!$W$19</f>
        <v>Aluminium szerokość 25 mm (metallic-line)</v>
      </c>
      <c r="E448" t="s">
        <v>2130</v>
      </c>
      <c r="F448">
        <v>1</v>
      </c>
      <c r="G448" t="str">
        <f>Překlady!$A$154</f>
        <v>Mechanizmu C3 nie da się zastosować przy poziomym ruchu żaluzji.</v>
      </c>
      <c r="H448" t="str">
        <f>VLOOKUP(A:A,výpočty!$R$14:$S$15,2,FALSE)</f>
        <v>H</v>
      </c>
      <c r="I448" t="str">
        <f>VLOOKUP(B:B,výpočty!$R$9:$S$11,2,FALSE)</f>
        <v>Z</v>
      </c>
      <c r="J448" t="str">
        <f>VLOOKUP(CHYBY!C:C,výpočty!$R$3:$S$7,2,FALSE)</f>
        <v>C</v>
      </c>
      <c r="K448">
        <f>VLOOKUP(D:D,výpočty!$W$3:$X$20,2,FALSE)</f>
        <v>17</v>
      </c>
      <c r="L448" t="str">
        <f t="shared" si="18"/>
        <v>HZC17</v>
      </c>
      <c r="M448" t="str">
        <f t="shared" si="19"/>
        <v>Mechanizmu C3 nie da się zastosować przy poziomym ruchu żaluzji.</v>
      </c>
      <c r="N448">
        <f t="shared" si="20"/>
        <v>1</v>
      </c>
    </row>
    <row r="449" spans="1:14" ht="14.4" thickBot="1" x14ac:dyDescent="0.35">
      <c r="A449" s="255" t="str">
        <f>výpočty!$R$15</f>
        <v>Poziomy (z lewej strony na prawą)</v>
      </c>
      <c r="B449" t="str">
        <f>výpočty!$R$11</f>
        <v>Z mecjanizmem C3</v>
      </c>
      <c r="C449" t="str">
        <f>výpočty!$R$5</f>
        <v>Frame - nakładany z listwą maskującą</v>
      </c>
      <c r="D449" s="27" t="str">
        <f>výpočty!$W$20</f>
        <v>Nierdz. szerokość 25 mm (metallic-line)</v>
      </c>
      <c r="E449" t="s">
        <v>2130</v>
      </c>
      <c r="F449">
        <v>1</v>
      </c>
      <c r="G449" t="str">
        <f>Překlady!$A$154</f>
        <v>Mechanizmu C3 nie da się zastosować przy poziomym ruchu żaluzji.</v>
      </c>
      <c r="H449" t="str">
        <f>VLOOKUP(A:A,výpočty!$R$14:$S$15,2,FALSE)</f>
        <v>H</v>
      </c>
      <c r="I449" t="str">
        <f>VLOOKUP(B:B,výpočty!$R$9:$S$11,2,FALSE)</f>
        <v>Z</v>
      </c>
      <c r="J449" t="str">
        <f>VLOOKUP(CHYBY!C:C,výpočty!$R$3:$S$7,2,FALSE)</f>
        <v>C</v>
      </c>
      <c r="K449">
        <f>VLOOKUP(D:D,výpočty!$W$3:$X$20,2,FALSE)</f>
        <v>18</v>
      </c>
      <c r="L449" t="str">
        <f t="shared" si="18"/>
        <v>HZC18</v>
      </c>
      <c r="M449" t="str">
        <f t="shared" si="19"/>
        <v>Mechanizmu C3 nie da się zastosować przy poziomym ruchu żaluzji.</v>
      </c>
      <c r="N449">
        <f t="shared" si="20"/>
        <v>1</v>
      </c>
    </row>
    <row r="450" spans="1:14" ht="13.8" x14ac:dyDescent="0.3">
      <c r="A450" s="255" t="str">
        <f>výpočty!$R$15</f>
        <v>Poziomy (z lewej strony na prawą)</v>
      </c>
      <c r="B450" t="str">
        <f>výpočty!$R$11</f>
        <v>Z mecjanizmem C3</v>
      </c>
      <c r="C450" t="str">
        <f>výpočty!$R$6</f>
        <v>TOP - wpuszczany do przykręcenia metalowy z listwą maskującą</v>
      </c>
      <c r="D450" s="26" t="str">
        <f>výpočty!$W$3</f>
        <v>Czarny (E23)</v>
      </c>
      <c r="E450" t="s">
        <v>2130</v>
      </c>
      <c r="F450">
        <v>1</v>
      </c>
      <c r="G450" t="str">
        <f>Překlady!$A$154</f>
        <v>Mechanizmu C3 nie da się zastosować przy poziomym ruchu żaluzji.</v>
      </c>
      <c r="H450" t="str">
        <f>VLOOKUP(A:A,výpočty!$R$14:$S$15,2,FALSE)</f>
        <v>H</v>
      </c>
      <c r="I450" t="str">
        <f>VLOOKUP(B:B,výpočty!$R$9:$S$11,2,FALSE)</f>
        <v>Z</v>
      </c>
      <c r="J450" t="str">
        <f>VLOOKUP(CHYBY!C:C,výpočty!$R$3:$S$7,2,FALSE)</f>
        <v>D</v>
      </c>
      <c r="K450">
        <f>VLOOKUP(D:D,výpočty!$W$3:$X$20,2,FALSE)</f>
        <v>1</v>
      </c>
      <c r="L450" t="str">
        <f t="shared" si="18"/>
        <v>HZD1</v>
      </c>
      <c r="M450" t="str">
        <f t="shared" si="19"/>
        <v>Mechanizmu C3 nie da się zastosować przy poziomym ruchu żaluzji.</v>
      </c>
      <c r="N450">
        <f t="shared" si="20"/>
        <v>1</v>
      </c>
    </row>
    <row r="451" spans="1:14" ht="13.8" x14ac:dyDescent="0.3">
      <c r="A451" s="255" t="str">
        <f>výpočty!$R$15</f>
        <v>Poziomy (z lewej strony na prawą)</v>
      </c>
      <c r="B451" t="str">
        <f>výpočty!$R$11</f>
        <v>Z mecjanizmem C3</v>
      </c>
      <c r="C451" t="str">
        <f>výpočty!$R$6</f>
        <v>TOP - wpuszczany do przykręcenia metalowy z listwą maskującą</v>
      </c>
      <c r="D451" s="36" t="str">
        <f>výpočty!$W$4</f>
        <v>Biały (E23)</v>
      </c>
      <c r="E451" t="s">
        <v>2130</v>
      </c>
      <c r="F451">
        <v>1</v>
      </c>
      <c r="G451" t="str">
        <f>Překlady!$A$154</f>
        <v>Mechanizmu C3 nie da się zastosować przy poziomym ruchu żaluzji.</v>
      </c>
      <c r="H451" t="str">
        <f>VLOOKUP(A:A,výpočty!$R$14:$S$15,2,FALSE)</f>
        <v>H</v>
      </c>
      <c r="I451" t="str">
        <f>VLOOKUP(B:B,výpočty!$R$9:$S$11,2,FALSE)</f>
        <v>Z</v>
      </c>
      <c r="J451" t="str">
        <f>VLOOKUP(CHYBY!C:C,výpočty!$R$3:$S$7,2,FALSE)</f>
        <v>D</v>
      </c>
      <c r="K451">
        <f>VLOOKUP(D:D,výpočty!$W$3:$X$20,2,FALSE)</f>
        <v>2</v>
      </c>
      <c r="L451" t="str">
        <f t="shared" ref="L451:L481" si="21">TRIM(CONCATENATE(H451,I451,J451,K451))</f>
        <v>HZD2</v>
      </c>
      <c r="M451" t="str">
        <f t="shared" ref="M451:M482" si="22">IF(G:G="OK","",G:G)</f>
        <v>Mechanizmu C3 nie da się zastosować przy poziomym ruchu żaluzji.</v>
      </c>
      <c r="N451">
        <f t="shared" ref="N451:N482" si="23">F:F</f>
        <v>1</v>
      </c>
    </row>
    <row r="452" spans="1:14" ht="13.8" x14ac:dyDescent="0.3">
      <c r="A452" s="255" t="str">
        <f>výpočty!$R$15</f>
        <v>Poziomy (z lewej strony na prawą)</v>
      </c>
      <c r="B452" t="str">
        <f>výpočty!$R$11</f>
        <v>Z mecjanizmem C3</v>
      </c>
      <c r="C452" t="str">
        <f>výpočty!$R$6</f>
        <v>TOP - wpuszczany do przykręcenia metalowy z listwą maskującą</v>
      </c>
      <c r="D452" s="36" t="str">
        <f>výpočty!$W$5</f>
        <v>Szary (E23)</v>
      </c>
      <c r="E452" t="s">
        <v>2130</v>
      </c>
      <c r="F452">
        <v>1</v>
      </c>
      <c r="G452" t="str">
        <f>Překlady!$A$154</f>
        <v>Mechanizmu C3 nie da się zastosować przy poziomym ruchu żaluzji.</v>
      </c>
      <c r="H452" t="str">
        <f>VLOOKUP(A:A,výpočty!$R$14:$S$15,2,FALSE)</f>
        <v>H</v>
      </c>
      <c r="I452" t="str">
        <f>VLOOKUP(B:B,výpočty!$R$9:$S$11,2,FALSE)</f>
        <v>Z</v>
      </c>
      <c r="J452" t="str">
        <f>VLOOKUP(CHYBY!C:C,výpočty!$R$3:$S$7,2,FALSE)</f>
        <v>D</v>
      </c>
      <c r="K452">
        <f>VLOOKUP(D:D,výpočty!$W$3:$X$20,2,FALSE)</f>
        <v>3</v>
      </c>
      <c r="L452" t="str">
        <f t="shared" si="21"/>
        <v>HZD3</v>
      </c>
      <c r="M452" t="str">
        <f t="shared" si="22"/>
        <v>Mechanizmu C3 nie da się zastosować przy poziomym ruchu żaluzji.</v>
      </c>
      <c r="N452">
        <f t="shared" si="23"/>
        <v>1</v>
      </c>
    </row>
    <row r="453" spans="1:14" ht="13.8" x14ac:dyDescent="0.3">
      <c r="A453" s="255" t="str">
        <f>výpočty!$R$15</f>
        <v>Poziomy (z lewej strony na prawą)</v>
      </c>
      <c r="B453" t="str">
        <f>výpočty!$R$11</f>
        <v>Z mecjanizmem C3</v>
      </c>
      <c r="C453" t="str">
        <f>výpočty!$R$6</f>
        <v>TOP - wpuszczany do przykręcenia metalowy z listwą maskującą</v>
      </c>
      <c r="D453" s="36" t="str">
        <f>výpočty!$W$6</f>
        <v>Aluminowa plastik (E23)</v>
      </c>
      <c r="E453" t="s">
        <v>2130</v>
      </c>
      <c r="F453">
        <v>1</v>
      </c>
      <c r="G453" t="str">
        <f>Překlady!$A$154</f>
        <v>Mechanizmu C3 nie da się zastosować przy poziomym ruchu żaluzji.</v>
      </c>
      <c r="H453" t="str">
        <f>VLOOKUP(A:A,výpočty!$R$14:$S$15,2,FALSE)</f>
        <v>H</v>
      </c>
      <c r="I453" t="str">
        <f>VLOOKUP(B:B,výpočty!$R$9:$S$11,2,FALSE)</f>
        <v>Z</v>
      </c>
      <c r="J453" t="str">
        <f>VLOOKUP(CHYBY!C:C,výpočty!$R$3:$S$7,2,FALSE)</f>
        <v>D</v>
      </c>
      <c r="K453">
        <f>VLOOKUP(D:D,výpočty!$W$3:$X$20,2,FALSE)</f>
        <v>4</v>
      </c>
      <c r="L453" t="str">
        <f t="shared" si="21"/>
        <v>HZD4</v>
      </c>
      <c r="M453" t="str">
        <f t="shared" si="22"/>
        <v>Mechanizmu C3 nie da się zastosować przy poziomym ruchu żaluzji.</v>
      </c>
      <c r="N453">
        <f t="shared" si="23"/>
        <v>1</v>
      </c>
    </row>
    <row r="454" spans="1:14" ht="13.8" x14ac:dyDescent="0.3">
      <c r="A454" s="255" t="str">
        <f>výpočty!$R$15</f>
        <v>Poziomy (z lewej strony na prawą)</v>
      </c>
      <c r="B454" t="str">
        <f>výpočty!$R$11</f>
        <v>Z mecjanizmem C3</v>
      </c>
      <c r="C454" t="str">
        <f>výpočty!$R$6</f>
        <v>TOP - wpuszczany do przykręcenia metalowy z listwą maskującą</v>
      </c>
      <c r="D454" s="36" t="str">
        <f>výpočty!$W$7</f>
        <v>Buk (E23)</v>
      </c>
      <c r="E454" t="s">
        <v>2130</v>
      </c>
      <c r="F454">
        <v>1</v>
      </c>
      <c r="G454" t="str">
        <f>Překlady!$A$154</f>
        <v>Mechanizmu C3 nie da się zastosować przy poziomym ruchu żaluzji.</v>
      </c>
      <c r="H454" t="str">
        <f>VLOOKUP(A:A,výpočty!$R$14:$S$15,2,FALSE)</f>
        <v>H</v>
      </c>
      <c r="I454" t="str">
        <f>VLOOKUP(B:B,výpočty!$R$9:$S$11,2,FALSE)</f>
        <v>Z</v>
      </c>
      <c r="J454" t="str">
        <f>VLOOKUP(CHYBY!C:C,výpočty!$R$3:$S$7,2,FALSE)</f>
        <v>D</v>
      </c>
      <c r="K454">
        <f>VLOOKUP(D:D,výpočty!$W$3:$X$20,2,FALSE)</f>
        <v>5</v>
      </c>
      <c r="L454" t="str">
        <f t="shared" si="21"/>
        <v>HZD5</v>
      </c>
      <c r="M454" t="str">
        <f t="shared" si="22"/>
        <v>Mechanizmu C3 nie da się zastosować przy poziomym ruchu żaluzji.</v>
      </c>
      <c r="N454">
        <f t="shared" si="23"/>
        <v>1</v>
      </c>
    </row>
    <row r="455" spans="1:14" ht="13.8" x14ac:dyDescent="0.3">
      <c r="A455" s="255" t="str">
        <f>výpočty!$R$15</f>
        <v>Poziomy (z lewej strony na prawą)</v>
      </c>
      <c r="B455" t="str">
        <f>výpočty!$R$11</f>
        <v>Z mecjanizmem C3</v>
      </c>
      <c r="C455" t="str">
        <f>výpočty!$R$6</f>
        <v>TOP - wpuszczany do przykręcenia metalowy z listwą maskującą</v>
      </c>
      <c r="D455" s="36" t="str">
        <f>výpočty!$W$8</f>
        <v>Czereśnia (E23)</v>
      </c>
      <c r="E455" t="s">
        <v>2130</v>
      </c>
      <c r="F455">
        <v>1</v>
      </c>
      <c r="G455" t="str">
        <f>Překlady!$A$154</f>
        <v>Mechanizmu C3 nie da się zastosować przy poziomym ruchu żaluzji.</v>
      </c>
      <c r="H455" t="str">
        <f>VLOOKUP(A:A,výpočty!$R$14:$S$15,2,FALSE)</f>
        <v>H</v>
      </c>
      <c r="I455" t="str">
        <f>VLOOKUP(B:B,výpočty!$R$9:$S$11,2,FALSE)</f>
        <v>Z</v>
      </c>
      <c r="J455" t="str">
        <f>VLOOKUP(CHYBY!C:C,výpočty!$R$3:$S$7,2,FALSE)</f>
        <v>D</v>
      </c>
      <c r="K455">
        <f>VLOOKUP(D:D,výpočty!$W$3:$X$20,2,FALSE)</f>
        <v>6</v>
      </c>
      <c r="L455" t="str">
        <f t="shared" si="21"/>
        <v>HZD6</v>
      </c>
      <c r="M455" t="str">
        <f t="shared" si="22"/>
        <v>Mechanizmu C3 nie da się zastosować przy poziomym ruchu żaluzji.</v>
      </c>
      <c r="N455">
        <f t="shared" si="23"/>
        <v>1</v>
      </c>
    </row>
    <row r="456" spans="1:14" ht="13.8" x14ac:dyDescent="0.3">
      <c r="A456" s="255" t="str">
        <f>výpočty!$R$15</f>
        <v>Poziomy (z lewej strony na prawą)</v>
      </c>
      <c r="B456" t="str">
        <f>výpočty!$R$11</f>
        <v>Z mecjanizmem C3</v>
      </c>
      <c r="C456" t="str">
        <f>výpočty!$R$6</f>
        <v>TOP - wpuszczany do przykręcenia metalowy z listwą maskującą</v>
      </c>
      <c r="D456" s="36" t="str">
        <f>výpočty!$W$9</f>
        <v>Klon (E23)</v>
      </c>
      <c r="E456" t="s">
        <v>2130</v>
      </c>
      <c r="F456">
        <v>1</v>
      </c>
      <c r="G456" t="str">
        <f>Překlady!$A$154</f>
        <v>Mechanizmu C3 nie da się zastosować przy poziomym ruchu żaluzji.</v>
      </c>
      <c r="H456" t="str">
        <f>VLOOKUP(A:A,výpočty!$R$14:$S$15,2,FALSE)</f>
        <v>H</v>
      </c>
      <c r="I456" t="str">
        <f>VLOOKUP(B:B,výpočty!$R$9:$S$11,2,FALSE)</f>
        <v>Z</v>
      </c>
      <c r="J456" t="str">
        <f>VLOOKUP(CHYBY!C:C,výpočty!$R$3:$S$7,2,FALSE)</f>
        <v>D</v>
      </c>
      <c r="K456">
        <f>VLOOKUP(D:D,výpočty!$W$3:$X$20,2,FALSE)</f>
        <v>7</v>
      </c>
      <c r="L456" t="str">
        <f t="shared" si="21"/>
        <v>HZD7</v>
      </c>
      <c r="M456" t="str">
        <f t="shared" si="22"/>
        <v>Mechanizmu C3 nie da się zastosować przy poziomym ruchu żaluzji.</v>
      </c>
      <c r="N456">
        <f t="shared" si="23"/>
        <v>1</v>
      </c>
    </row>
    <row r="457" spans="1:14" ht="13.8" x14ac:dyDescent="0.3">
      <c r="A457" s="255" t="str">
        <f>výpočty!$R$15</f>
        <v>Poziomy (z lewej strony na prawą)</v>
      </c>
      <c r="B457" t="str">
        <f>výpočty!$R$11</f>
        <v>Z mecjanizmem C3</v>
      </c>
      <c r="C457" t="str">
        <f>výpočty!$R$6</f>
        <v>TOP - wpuszczany do przykręcenia metalowy z listwą maskującą</v>
      </c>
      <c r="D457" s="36" t="str">
        <f>výpočty!$W$10</f>
        <v>Brzoza (E23)</v>
      </c>
      <c r="E457" t="s">
        <v>2130</v>
      </c>
      <c r="F457">
        <v>1</v>
      </c>
      <c r="G457" t="str">
        <f>Překlady!$A$154</f>
        <v>Mechanizmu C3 nie da się zastosować przy poziomym ruchu żaluzji.</v>
      </c>
      <c r="H457" t="str">
        <f>VLOOKUP(A:A,výpočty!$R$14:$S$15,2,FALSE)</f>
        <v>H</v>
      </c>
      <c r="I457" t="str">
        <f>VLOOKUP(B:B,výpočty!$R$9:$S$11,2,FALSE)</f>
        <v>Z</v>
      </c>
      <c r="J457" t="str">
        <f>VLOOKUP(CHYBY!C:C,výpočty!$R$3:$S$7,2,FALSE)</f>
        <v>D</v>
      </c>
      <c r="K457">
        <f>VLOOKUP(D:D,výpočty!$W$3:$X$20,2,FALSE)</f>
        <v>8</v>
      </c>
      <c r="L457" t="str">
        <f t="shared" si="21"/>
        <v>HZD8</v>
      </c>
      <c r="M457" t="str">
        <f t="shared" si="22"/>
        <v>Mechanizmu C3 nie da się zastosować przy poziomym ruchu żaluzji.</v>
      </c>
      <c r="N457">
        <f t="shared" si="23"/>
        <v>1</v>
      </c>
    </row>
    <row r="458" spans="1:14" ht="13.8" x14ac:dyDescent="0.3">
      <c r="A458" s="255" t="str">
        <f>výpočty!$R$15</f>
        <v>Poziomy (z lewej strony na prawą)</v>
      </c>
      <c r="B458" t="str">
        <f>výpočty!$R$11</f>
        <v>Z mecjanizmem C3</v>
      </c>
      <c r="C458" t="str">
        <f>výpočty!$R$6</f>
        <v>TOP - wpuszczany do przykręcenia metalowy z listwą maskującą</v>
      </c>
      <c r="D458" s="36" t="str">
        <f>výpočty!$W$11</f>
        <v>Czereśnia havana (E23)</v>
      </c>
      <c r="E458" t="s">
        <v>2130</v>
      </c>
      <c r="F458">
        <v>1</v>
      </c>
      <c r="G458" t="str">
        <f>Překlady!$A$154</f>
        <v>Mechanizmu C3 nie da się zastosować przy poziomym ruchu żaluzji.</v>
      </c>
      <c r="H458" t="str">
        <f>VLOOKUP(A:A,výpočty!$R$14:$S$15,2,FALSE)</f>
        <v>H</v>
      </c>
      <c r="I458" t="str">
        <f>VLOOKUP(B:B,výpočty!$R$9:$S$11,2,FALSE)</f>
        <v>Z</v>
      </c>
      <c r="J458" t="str">
        <f>VLOOKUP(CHYBY!C:C,výpočty!$R$3:$S$7,2,FALSE)</f>
        <v>D</v>
      </c>
      <c r="K458">
        <f>VLOOKUP(D:D,výpočty!$W$3:$X$20,2,FALSE)</f>
        <v>9</v>
      </c>
      <c r="L458" t="str">
        <f t="shared" si="21"/>
        <v>HZD9</v>
      </c>
      <c r="M458" t="str">
        <f t="shared" si="22"/>
        <v>Mechanizmu C3 nie da się zastosować przy poziomym ruchu żaluzji.</v>
      </c>
      <c r="N458">
        <f t="shared" si="23"/>
        <v>1</v>
      </c>
    </row>
    <row r="459" spans="1:14" ht="13.8" x14ac:dyDescent="0.3">
      <c r="A459" s="255" t="str">
        <f>výpočty!$R$15</f>
        <v>Poziomy (z lewej strony na prawą)</v>
      </c>
      <c r="B459" t="str">
        <f>výpočty!$R$11</f>
        <v>Z mecjanizmem C3</v>
      </c>
      <c r="C459" t="str">
        <f>výpočty!$R$6</f>
        <v>TOP - wpuszczany do przykręcenia metalowy z listwą maskującą</v>
      </c>
      <c r="D459" s="36" t="str">
        <f>výpočty!$W$12</f>
        <v>Calvados (E23)</v>
      </c>
      <c r="E459" t="s">
        <v>2130</v>
      </c>
      <c r="F459">
        <v>1</v>
      </c>
      <c r="G459" t="str">
        <f>Překlady!$A$154</f>
        <v>Mechanizmu C3 nie da się zastosować przy poziomym ruchu żaluzji.</v>
      </c>
      <c r="H459" t="str">
        <f>VLOOKUP(A:A,výpočty!$R$14:$S$15,2,FALSE)</f>
        <v>H</v>
      </c>
      <c r="I459" t="str">
        <f>VLOOKUP(B:B,výpočty!$R$9:$S$11,2,FALSE)</f>
        <v>Z</v>
      </c>
      <c r="J459" t="str">
        <f>VLOOKUP(CHYBY!C:C,výpočty!$R$3:$S$7,2,FALSE)</f>
        <v>D</v>
      </c>
      <c r="K459">
        <f>VLOOKUP(D:D,výpočty!$W$3:$X$20,2,FALSE)</f>
        <v>10</v>
      </c>
      <c r="L459" t="str">
        <f t="shared" si="21"/>
        <v>HZD10</v>
      </c>
      <c r="M459" t="str">
        <f t="shared" si="22"/>
        <v>Mechanizmu C3 nie da się zastosować przy poziomym ruchu żaluzji.</v>
      </c>
      <c r="N459">
        <f t="shared" si="23"/>
        <v>1</v>
      </c>
    </row>
    <row r="460" spans="1:14" ht="13.8" x14ac:dyDescent="0.3">
      <c r="A460" s="255" t="str">
        <f>výpočty!$R$15</f>
        <v>Poziomy (z lewej strony na prawą)</v>
      </c>
      <c r="B460" t="str">
        <f>výpočty!$R$11</f>
        <v>Z mecjanizmem C3</v>
      </c>
      <c r="C460" t="str">
        <f>výpočty!$R$6</f>
        <v>TOP - wpuszczany do przykręcenia metalowy z listwą maskującą</v>
      </c>
      <c r="D460" s="36" t="str">
        <f>výpočty!$W$14</f>
        <v>śnieżno biala mat (E9)</v>
      </c>
      <c r="E460" t="s">
        <v>2130</v>
      </c>
      <c r="F460">
        <v>1</v>
      </c>
      <c r="G460" t="str">
        <f>Překlady!$A$154</f>
        <v>Mechanizmu C3 nie da się zastosować przy poziomym ruchu żaluzji.</v>
      </c>
      <c r="H460" t="str">
        <f>VLOOKUP(A:A,výpočty!$R$14:$S$15,2,FALSE)</f>
        <v>H</v>
      </c>
      <c r="I460" t="str">
        <f>VLOOKUP(B:B,výpočty!$R$9:$S$11,2,FALSE)</f>
        <v>Z</v>
      </c>
      <c r="J460" t="str">
        <f>VLOOKUP(CHYBY!C:C,výpočty!$R$3:$S$7,2,FALSE)</f>
        <v>D</v>
      </c>
      <c r="K460">
        <f>VLOOKUP(D:D,výpočty!$W$3:$X$20,2,FALSE)</f>
        <v>12</v>
      </c>
      <c r="L460" t="str">
        <f t="shared" si="21"/>
        <v>HZD12</v>
      </c>
      <c r="M460" t="str">
        <f t="shared" si="22"/>
        <v>Mechanizmu C3 nie da się zastosować przy poziomym ruchu żaluzji.</v>
      </c>
      <c r="N460">
        <f t="shared" si="23"/>
        <v>1</v>
      </c>
    </row>
    <row r="461" spans="1:14" ht="13.8" x14ac:dyDescent="0.3">
      <c r="A461" s="255" t="str">
        <f>výpočty!$R$15</f>
        <v>Poziomy (z lewej strony na prawą)</v>
      </c>
      <c r="B461" t="str">
        <f>výpočty!$R$11</f>
        <v>Z mecjanizmem C3</v>
      </c>
      <c r="C461" t="str">
        <f>výpočty!$R$6</f>
        <v>TOP - wpuszczany do przykręcenia metalowy z listwą maskującą</v>
      </c>
      <c r="D461" s="36" t="str">
        <f>výpočty!$W$15</f>
        <v>Aluminowa plastik (E4)</v>
      </c>
      <c r="E461" t="s">
        <v>2130</v>
      </c>
      <c r="F461">
        <v>1</v>
      </c>
      <c r="G461" s="321" t="str">
        <f>Překlady!$A$143</f>
        <v>Kolor aluminium plastik w profilu E4 jest idealny do poziomych rozwiązań w kombinacji z prowadzeniem Classic z systemem nawijania do tyłu</v>
      </c>
      <c r="H461" t="str">
        <f>VLOOKUP(A:A,výpočty!$R$14:$S$15,2,FALSE)</f>
        <v>H</v>
      </c>
      <c r="I461" t="str">
        <f>VLOOKUP(B:B,výpočty!$R$9:$S$11,2,FALSE)</f>
        <v>Z</v>
      </c>
      <c r="J461" t="str">
        <f>VLOOKUP(CHYBY!C:C,výpočty!$R$3:$S$7,2,FALSE)</f>
        <v>D</v>
      </c>
      <c r="K461">
        <f>VLOOKUP(D:D,výpočty!$W$3:$X$20,2,FALSE)</f>
        <v>13</v>
      </c>
      <c r="L461" t="str">
        <f t="shared" si="21"/>
        <v>HZD13</v>
      </c>
      <c r="M461" t="str">
        <f t="shared" si="22"/>
        <v>Kolor aluminium plastik w profilu E4 jest idealny do poziomych rozwiązań w kombinacji z prowadzeniem Classic z systemem nawijania do tyłu</v>
      </c>
      <c r="N461">
        <f t="shared" si="23"/>
        <v>1</v>
      </c>
    </row>
    <row r="462" spans="1:14" ht="13.8" x14ac:dyDescent="0.3">
      <c r="A462" s="255" t="str">
        <f>výpočty!$R$15</f>
        <v>Poziomy (z lewej strony na prawą)</v>
      </c>
      <c r="B462" t="str">
        <f>výpočty!$R$11</f>
        <v>Z mecjanizmem C3</v>
      </c>
      <c r="C462" t="str">
        <f>výpočty!$R$6</f>
        <v>TOP - wpuszczany do przykręcenia metalowy z listwą maskującą</v>
      </c>
      <c r="D462" s="36">
        <f>výpočty!$W$17</f>
        <v>0</v>
      </c>
      <c r="E462" t="s">
        <v>2130</v>
      </c>
      <c r="F462">
        <v>1</v>
      </c>
      <c r="G462" t="str">
        <f>Překlady!$A$154</f>
        <v>Mechanizmu C3 nie da się zastosować przy poziomym ruchu żaluzji.</v>
      </c>
      <c r="H462" t="str">
        <f>VLOOKUP(A:A,výpočty!$R$14:$S$15,2,FALSE)</f>
        <v>H</v>
      </c>
      <c r="I462" t="str">
        <f>VLOOKUP(B:B,výpočty!$R$9:$S$11,2,FALSE)</f>
        <v>Z</v>
      </c>
      <c r="J462" t="str">
        <f>VLOOKUP(CHYBY!C:C,výpočty!$R$3:$S$7,2,FALSE)</f>
        <v>D</v>
      </c>
      <c r="K462" t="e">
        <f>VLOOKUP(D:D,výpočty!$W$3:$X$20,2,FALSE)</f>
        <v>#N/A</v>
      </c>
      <c r="L462" t="e">
        <f t="shared" si="21"/>
        <v>#N/A</v>
      </c>
      <c r="M462" t="str">
        <f t="shared" si="22"/>
        <v>Mechanizmu C3 nie da się zastosować przy poziomym ruchu żaluzji.</v>
      </c>
      <c r="N462">
        <f t="shared" si="23"/>
        <v>1</v>
      </c>
    </row>
    <row r="463" spans="1:14" ht="13.8" x14ac:dyDescent="0.3">
      <c r="A463" s="255" t="str">
        <f>výpočty!$R$15</f>
        <v>Poziomy (z lewej strony na prawą)</v>
      </c>
      <c r="B463" t="str">
        <f>výpočty!$R$11</f>
        <v>Z mecjanizmem C3</v>
      </c>
      <c r="C463" t="str">
        <f>výpočty!$R$6</f>
        <v>TOP - wpuszczany do przykręcenia metalowy z listwą maskującą</v>
      </c>
      <c r="D463" s="36">
        <f>výpočty!$W$18</f>
        <v>0</v>
      </c>
      <c r="E463" t="s">
        <v>2130</v>
      </c>
      <c r="F463">
        <v>1</v>
      </c>
      <c r="G463" t="str">
        <f>Překlady!$A$154</f>
        <v>Mechanizmu C3 nie da się zastosować przy poziomym ruchu żaluzji.</v>
      </c>
      <c r="H463" t="str">
        <f>VLOOKUP(A:A,výpočty!$R$14:$S$15,2,FALSE)</f>
        <v>H</v>
      </c>
      <c r="I463" t="str">
        <f>VLOOKUP(B:B,výpočty!$R$9:$S$11,2,FALSE)</f>
        <v>Z</v>
      </c>
      <c r="J463" t="str">
        <f>VLOOKUP(CHYBY!C:C,výpočty!$R$3:$S$7,2,FALSE)</f>
        <v>D</v>
      </c>
      <c r="K463" t="e">
        <f>VLOOKUP(D:D,výpočty!$W$3:$X$20,2,FALSE)</f>
        <v>#N/A</v>
      </c>
      <c r="L463" t="e">
        <f t="shared" si="21"/>
        <v>#N/A</v>
      </c>
      <c r="M463" t="str">
        <f t="shared" si="22"/>
        <v>Mechanizmu C3 nie da się zastosować przy poziomym ruchu żaluzji.</v>
      </c>
      <c r="N463">
        <f t="shared" si="23"/>
        <v>1</v>
      </c>
    </row>
    <row r="464" spans="1:14" ht="13.8" x14ac:dyDescent="0.3">
      <c r="A464" s="255" t="str">
        <f>výpočty!$R$15</f>
        <v>Poziomy (z lewej strony na prawą)</v>
      </c>
      <c r="B464" t="str">
        <f>výpočty!$R$11</f>
        <v>Z mecjanizmem C3</v>
      </c>
      <c r="C464" t="str">
        <f>výpočty!$R$6</f>
        <v>TOP - wpuszczany do przykręcenia metalowy z listwą maskującą</v>
      </c>
      <c r="D464" s="36" t="str">
        <f>výpočty!$W$19</f>
        <v>Aluminium szerokość 25 mm (metallic-line)</v>
      </c>
      <c r="E464" t="s">
        <v>2130</v>
      </c>
      <c r="F464">
        <v>1</v>
      </c>
      <c r="G464" t="str">
        <f>Překlady!$A$154</f>
        <v>Mechanizmu C3 nie da się zastosować przy poziomym ruchu żaluzji.</v>
      </c>
      <c r="H464" t="str">
        <f>VLOOKUP(A:A,výpočty!$R$14:$S$15,2,FALSE)</f>
        <v>H</v>
      </c>
      <c r="I464" t="str">
        <f>VLOOKUP(B:B,výpočty!$R$9:$S$11,2,FALSE)</f>
        <v>Z</v>
      </c>
      <c r="J464" t="str">
        <f>VLOOKUP(CHYBY!C:C,výpočty!$R$3:$S$7,2,FALSE)</f>
        <v>D</v>
      </c>
      <c r="K464">
        <f>VLOOKUP(D:D,výpočty!$W$3:$X$20,2,FALSE)</f>
        <v>17</v>
      </c>
      <c r="L464" t="str">
        <f t="shared" si="21"/>
        <v>HZD17</v>
      </c>
      <c r="M464" t="str">
        <f t="shared" si="22"/>
        <v>Mechanizmu C3 nie da się zastosować przy poziomym ruchu żaluzji.</v>
      </c>
      <c r="N464">
        <f t="shared" si="23"/>
        <v>1</v>
      </c>
    </row>
    <row r="465" spans="1:14" ht="14.4" thickBot="1" x14ac:dyDescent="0.35">
      <c r="A465" s="255" t="str">
        <f>výpočty!$R$15</f>
        <v>Poziomy (z lewej strony na prawą)</v>
      </c>
      <c r="B465" t="str">
        <f>výpočty!$R$11</f>
        <v>Z mecjanizmem C3</v>
      </c>
      <c r="C465" t="str">
        <f>výpočty!$R$6</f>
        <v>TOP - wpuszczany do przykręcenia metalowy z listwą maskującą</v>
      </c>
      <c r="D465" s="27" t="str">
        <f>výpočty!$W$20</f>
        <v>Nierdz. szerokość 25 mm (metallic-line)</v>
      </c>
      <c r="E465" t="s">
        <v>2130</v>
      </c>
      <c r="F465">
        <v>1</v>
      </c>
      <c r="G465" t="str">
        <f>Překlady!$A$154</f>
        <v>Mechanizmu C3 nie da się zastosować przy poziomym ruchu żaluzji.</v>
      </c>
      <c r="H465" t="str">
        <f>VLOOKUP(A:A,výpočty!$R$14:$S$15,2,FALSE)</f>
        <v>H</v>
      </c>
      <c r="I465" t="str">
        <f>VLOOKUP(B:B,výpočty!$R$9:$S$11,2,FALSE)</f>
        <v>Z</v>
      </c>
      <c r="J465" t="str">
        <f>VLOOKUP(CHYBY!C:C,výpočty!$R$3:$S$7,2,FALSE)</f>
        <v>D</v>
      </c>
      <c r="K465">
        <f>VLOOKUP(D:D,výpočty!$W$3:$X$20,2,FALSE)</f>
        <v>18</v>
      </c>
      <c r="L465" t="str">
        <f t="shared" si="21"/>
        <v>HZD18</v>
      </c>
      <c r="M465" t="str">
        <f t="shared" si="22"/>
        <v>Mechanizmu C3 nie da się zastosować przy poziomym ruchu żaluzji.</v>
      </c>
      <c r="N465">
        <f t="shared" si="23"/>
        <v>1</v>
      </c>
    </row>
    <row r="466" spans="1:14" ht="13.8" x14ac:dyDescent="0.3">
      <c r="A466" s="255" t="str">
        <f>výpočty!$R$15</f>
        <v>Poziomy (z lewej strony na prawą)</v>
      </c>
      <c r="B466" t="str">
        <f>výpočty!$R$11</f>
        <v>Z mecjanizmem C3</v>
      </c>
      <c r="C466" t="str">
        <f>výpočty!$R$7</f>
        <v>Nakładany z prowadzeniem metalic-line 29 mm i mechanimem C3</v>
      </c>
      <c r="D466" s="26" t="str">
        <f>výpočty!$W$3</f>
        <v>Czarny (E23)</v>
      </c>
      <c r="E466" t="s">
        <v>2130</v>
      </c>
      <c r="F466">
        <v>1</v>
      </c>
      <c r="G466" t="str">
        <f>Překlady!$A$154</f>
        <v>Mechanizmu C3 nie da się zastosować przy poziomym ruchu żaluzji.</v>
      </c>
      <c r="H466" t="str">
        <f>VLOOKUP(A:A,výpočty!$R$14:$S$15,2,FALSE)</f>
        <v>H</v>
      </c>
      <c r="I466" t="str">
        <f>VLOOKUP(B:B,výpočty!$R$9:$S$11,2,FALSE)</f>
        <v>Z</v>
      </c>
      <c r="J466" t="str">
        <f>VLOOKUP(CHYBY!C:C,výpočty!$R$3:$S$7,2,FALSE)</f>
        <v>E</v>
      </c>
      <c r="K466">
        <f>VLOOKUP(D:D,výpočty!$W$3:$X$20,2,FALSE)</f>
        <v>1</v>
      </c>
      <c r="L466" t="str">
        <f t="shared" si="21"/>
        <v>HZE1</v>
      </c>
      <c r="M466" t="str">
        <f t="shared" si="22"/>
        <v>Mechanizmu C3 nie da się zastosować przy poziomym ruchu żaluzji.</v>
      </c>
      <c r="N466">
        <f t="shared" si="23"/>
        <v>1</v>
      </c>
    </row>
    <row r="467" spans="1:14" ht="13.8" x14ac:dyDescent="0.3">
      <c r="A467" s="255" t="str">
        <f>výpočty!$R$15</f>
        <v>Poziomy (z lewej strony na prawą)</v>
      </c>
      <c r="B467" t="str">
        <f>výpočty!$R$11</f>
        <v>Z mecjanizmem C3</v>
      </c>
      <c r="C467" t="str">
        <f>výpočty!$R$7</f>
        <v>Nakładany z prowadzeniem metalic-line 29 mm i mechanimem C3</v>
      </c>
      <c r="D467" s="36" t="str">
        <f>výpočty!$W$4</f>
        <v>Biały (E23)</v>
      </c>
      <c r="E467" t="s">
        <v>2130</v>
      </c>
      <c r="F467">
        <v>1</v>
      </c>
      <c r="G467" t="str">
        <f>Překlady!$A$154</f>
        <v>Mechanizmu C3 nie da się zastosować przy poziomym ruchu żaluzji.</v>
      </c>
      <c r="H467" t="str">
        <f>VLOOKUP(A:A,výpočty!$R$14:$S$15,2,FALSE)</f>
        <v>H</v>
      </c>
      <c r="I467" t="str">
        <f>VLOOKUP(B:B,výpočty!$R$9:$S$11,2,FALSE)</f>
        <v>Z</v>
      </c>
      <c r="J467" t="str">
        <f>VLOOKUP(CHYBY!C:C,výpočty!$R$3:$S$7,2,FALSE)</f>
        <v>E</v>
      </c>
      <c r="K467">
        <f>VLOOKUP(D:D,výpočty!$W$3:$X$20,2,FALSE)</f>
        <v>2</v>
      </c>
      <c r="L467" t="str">
        <f t="shared" si="21"/>
        <v>HZE2</v>
      </c>
      <c r="M467" t="str">
        <f t="shared" si="22"/>
        <v>Mechanizmu C3 nie da się zastosować przy poziomym ruchu żaluzji.</v>
      </c>
      <c r="N467">
        <f t="shared" si="23"/>
        <v>1</v>
      </c>
    </row>
    <row r="468" spans="1:14" ht="13.8" x14ac:dyDescent="0.3">
      <c r="A468" s="255" t="str">
        <f>výpočty!$R$15</f>
        <v>Poziomy (z lewej strony na prawą)</v>
      </c>
      <c r="B468" t="str">
        <f>výpočty!$R$11</f>
        <v>Z mecjanizmem C3</v>
      </c>
      <c r="C468" t="str">
        <f>výpočty!$R$7</f>
        <v>Nakładany z prowadzeniem metalic-line 29 mm i mechanimem C3</v>
      </c>
      <c r="D468" s="36" t="str">
        <f>výpočty!$W$5</f>
        <v>Szary (E23)</v>
      </c>
      <c r="E468" t="s">
        <v>2130</v>
      </c>
      <c r="F468">
        <v>1</v>
      </c>
      <c r="G468" t="str">
        <f>Překlady!$A$154</f>
        <v>Mechanizmu C3 nie da się zastosować przy poziomym ruchu żaluzji.</v>
      </c>
      <c r="H468" t="str">
        <f>VLOOKUP(A:A,výpočty!$R$14:$S$15,2,FALSE)</f>
        <v>H</v>
      </c>
      <c r="I468" t="str">
        <f>VLOOKUP(B:B,výpočty!$R$9:$S$11,2,FALSE)</f>
        <v>Z</v>
      </c>
      <c r="J468" t="str">
        <f>VLOOKUP(CHYBY!C:C,výpočty!$R$3:$S$7,2,FALSE)</f>
        <v>E</v>
      </c>
      <c r="K468">
        <f>VLOOKUP(D:D,výpočty!$W$3:$X$20,2,FALSE)</f>
        <v>3</v>
      </c>
      <c r="L468" t="str">
        <f t="shared" si="21"/>
        <v>HZE3</v>
      </c>
      <c r="M468" t="str">
        <f t="shared" si="22"/>
        <v>Mechanizmu C3 nie da się zastosować przy poziomym ruchu żaluzji.</v>
      </c>
      <c r="N468">
        <f t="shared" si="23"/>
        <v>1</v>
      </c>
    </row>
    <row r="469" spans="1:14" ht="13.8" x14ac:dyDescent="0.3">
      <c r="A469" s="255" t="str">
        <f>výpočty!$R$15</f>
        <v>Poziomy (z lewej strony na prawą)</v>
      </c>
      <c r="B469" t="str">
        <f>výpočty!$R$11</f>
        <v>Z mecjanizmem C3</v>
      </c>
      <c r="C469" t="str">
        <f>výpočty!$R$7</f>
        <v>Nakładany z prowadzeniem metalic-line 29 mm i mechanimem C3</v>
      </c>
      <c r="D469" s="36" t="str">
        <f>výpočty!$W$6</f>
        <v>Aluminowa plastik (E23)</v>
      </c>
      <c r="E469" t="s">
        <v>2130</v>
      </c>
      <c r="F469">
        <v>1</v>
      </c>
      <c r="G469" t="str">
        <f>Překlady!$A$154</f>
        <v>Mechanizmu C3 nie da się zastosować przy poziomym ruchu żaluzji.</v>
      </c>
      <c r="H469" t="str">
        <f>VLOOKUP(A:A,výpočty!$R$14:$S$15,2,FALSE)</f>
        <v>H</v>
      </c>
      <c r="I469" t="str">
        <f>VLOOKUP(B:B,výpočty!$R$9:$S$11,2,FALSE)</f>
        <v>Z</v>
      </c>
      <c r="J469" t="str">
        <f>VLOOKUP(CHYBY!C:C,výpočty!$R$3:$S$7,2,FALSE)</f>
        <v>E</v>
      </c>
      <c r="K469">
        <f>VLOOKUP(D:D,výpočty!$W$3:$X$20,2,FALSE)</f>
        <v>4</v>
      </c>
      <c r="L469" t="str">
        <f t="shared" si="21"/>
        <v>HZE4</v>
      </c>
      <c r="M469" t="str">
        <f t="shared" si="22"/>
        <v>Mechanizmu C3 nie da się zastosować przy poziomym ruchu żaluzji.</v>
      </c>
      <c r="N469">
        <f t="shared" si="23"/>
        <v>1</v>
      </c>
    </row>
    <row r="470" spans="1:14" ht="13.8" x14ac:dyDescent="0.3">
      <c r="A470" s="255" t="str">
        <f>výpočty!$R$15</f>
        <v>Poziomy (z lewej strony na prawą)</v>
      </c>
      <c r="B470" t="str">
        <f>výpočty!$R$11</f>
        <v>Z mecjanizmem C3</v>
      </c>
      <c r="C470" t="str">
        <f>výpočty!$R$7</f>
        <v>Nakładany z prowadzeniem metalic-line 29 mm i mechanimem C3</v>
      </c>
      <c r="D470" s="36" t="str">
        <f>výpočty!$W$7</f>
        <v>Buk (E23)</v>
      </c>
      <c r="E470" t="s">
        <v>2130</v>
      </c>
      <c r="F470">
        <v>1</v>
      </c>
      <c r="G470" t="str">
        <f>Překlady!$A$154</f>
        <v>Mechanizmu C3 nie da się zastosować przy poziomym ruchu żaluzji.</v>
      </c>
      <c r="H470" t="str">
        <f>VLOOKUP(A:A,výpočty!$R$14:$S$15,2,FALSE)</f>
        <v>H</v>
      </c>
      <c r="I470" t="str">
        <f>VLOOKUP(B:B,výpočty!$R$9:$S$11,2,FALSE)</f>
        <v>Z</v>
      </c>
      <c r="J470" t="str">
        <f>VLOOKUP(CHYBY!C:C,výpočty!$R$3:$S$7,2,FALSE)</f>
        <v>E</v>
      </c>
      <c r="K470">
        <f>VLOOKUP(D:D,výpočty!$W$3:$X$20,2,FALSE)</f>
        <v>5</v>
      </c>
      <c r="L470" t="str">
        <f t="shared" si="21"/>
        <v>HZE5</v>
      </c>
      <c r="M470" t="str">
        <f t="shared" si="22"/>
        <v>Mechanizmu C3 nie da się zastosować przy poziomym ruchu żaluzji.</v>
      </c>
      <c r="N470">
        <f t="shared" si="23"/>
        <v>1</v>
      </c>
    </row>
    <row r="471" spans="1:14" ht="13.8" x14ac:dyDescent="0.3">
      <c r="A471" s="255" t="str">
        <f>výpočty!$R$15</f>
        <v>Poziomy (z lewej strony na prawą)</v>
      </c>
      <c r="B471" t="str">
        <f>výpočty!$R$11</f>
        <v>Z mecjanizmem C3</v>
      </c>
      <c r="C471" t="str">
        <f>výpočty!$R$7</f>
        <v>Nakładany z prowadzeniem metalic-line 29 mm i mechanimem C3</v>
      </c>
      <c r="D471" s="36" t="str">
        <f>výpočty!$W$8</f>
        <v>Czereśnia (E23)</v>
      </c>
      <c r="E471" t="s">
        <v>2130</v>
      </c>
      <c r="F471">
        <v>1</v>
      </c>
      <c r="G471" t="str">
        <f>Překlady!$A$154</f>
        <v>Mechanizmu C3 nie da się zastosować przy poziomym ruchu żaluzji.</v>
      </c>
      <c r="H471" t="str">
        <f>VLOOKUP(A:A,výpočty!$R$14:$S$15,2,FALSE)</f>
        <v>H</v>
      </c>
      <c r="I471" t="str">
        <f>VLOOKUP(B:B,výpočty!$R$9:$S$11,2,FALSE)</f>
        <v>Z</v>
      </c>
      <c r="J471" t="str">
        <f>VLOOKUP(CHYBY!C:C,výpočty!$R$3:$S$7,2,FALSE)</f>
        <v>E</v>
      </c>
      <c r="K471">
        <f>VLOOKUP(D:D,výpočty!$W$3:$X$20,2,FALSE)</f>
        <v>6</v>
      </c>
      <c r="L471" t="str">
        <f t="shared" si="21"/>
        <v>HZE6</v>
      </c>
      <c r="M471" t="str">
        <f t="shared" si="22"/>
        <v>Mechanizmu C3 nie da się zastosować przy poziomym ruchu żaluzji.</v>
      </c>
      <c r="N471">
        <f t="shared" si="23"/>
        <v>1</v>
      </c>
    </row>
    <row r="472" spans="1:14" ht="13.8" x14ac:dyDescent="0.3">
      <c r="A472" s="255" t="str">
        <f>výpočty!$R$15</f>
        <v>Poziomy (z lewej strony na prawą)</v>
      </c>
      <c r="B472" t="str">
        <f>výpočty!$R$11</f>
        <v>Z mecjanizmem C3</v>
      </c>
      <c r="C472" t="str">
        <f>výpočty!$R$7</f>
        <v>Nakładany z prowadzeniem metalic-line 29 mm i mechanimem C3</v>
      </c>
      <c r="D472" s="36" t="str">
        <f>výpočty!$W$9</f>
        <v>Klon (E23)</v>
      </c>
      <c r="E472" t="s">
        <v>2130</v>
      </c>
      <c r="F472">
        <v>1</v>
      </c>
      <c r="G472" t="str">
        <f>Překlady!$A$154</f>
        <v>Mechanizmu C3 nie da się zastosować przy poziomym ruchu żaluzji.</v>
      </c>
      <c r="H472" t="str">
        <f>VLOOKUP(A:A,výpočty!$R$14:$S$15,2,FALSE)</f>
        <v>H</v>
      </c>
      <c r="I472" t="str">
        <f>VLOOKUP(B:B,výpočty!$R$9:$S$11,2,FALSE)</f>
        <v>Z</v>
      </c>
      <c r="J472" t="str">
        <f>VLOOKUP(CHYBY!C:C,výpočty!$R$3:$S$7,2,FALSE)</f>
        <v>E</v>
      </c>
      <c r="K472">
        <f>VLOOKUP(D:D,výpočty!$W$3:$X$20,2,FALSE)</f>
        <v>7</v>
      </c>
      <c r="L472" t="str">
        <f t="shared" si="21"/>
        <v>HZE7</v>
      </c>
      <c r="M472" t="str">
        <f t="shared" si="22"/>
        <v>Mechanizmu C3 nie da się zastosować przy poziomym ruchu żaluzji.</v>
      </c>
      <c r="N472">
        <f t="shared" si="23"/>
        <v>1</v>
      </c>
    </row>
    <row r="473" spans="1:14" ht="13.8" x14ac:dyDescent="0.3">
      <c r="A473" s="255" t="str">
        <f>výpočty!$R$15</f>
        <v>Poziomy (z lewej strony na prawą)</v>
      </c>
      <c r="B473" t="str">
        <f>výpočty!$R$11</f>
        <v>Z mecjanizmem C3</v>
      </c>
      <c r="C473" t="str">
        <f>výpočty!$R$7</f>
        <v>Nakładany z prowadzeniem metalic-line 29 mm i mechanimem C3</v>
      </c>
      <c r="D473" s="36" t="str">
        <f>výpočty!$W$10</f>
        <v>Brzoza (E23)</v>
      </c>
      <c r="E473" t="s">
        <v>2130</v>
      </c>
      <c r="F473">
        <v>1</v>
      </c>
      <c r="G473" t="str">
        <f>Překlady!$A$154</f>
        <v>Mechanizmu C3 nie da się zastosować przy poziomym ruchu żaluzji.</v>
      </c>
      <c r="H473" t="str">
        <f>VLOOKUP(A:A,výpočty!$R$14:$S$15,2,FALSE)</f>
        <v>H</v>
      </c>
      <c r="I473" t="str">
        <f>VLOOKUP(B:B,výpočty!$R$9:$S$11,2,FALSE)</f>
        <v>Z</v>
      </c>
      <c r="J473" t="str">
        <f>VLOOKUP(CHYBY!C:C,výpočty!$R$3:$S$7,2,FALSE)</f>
        <v>E</v>
      </c>
      <c r="K473">
        <f>VLOOKUP(D:D,výpočty!$W$3:$X$20,2,FALSE)</f>
        <v>8</v>
      </c>
      <c r="L473" t="str">
        <f t="shared" si="21"/>
        <v>HZE8</v>
      </c>
      <c r="M473" t="str">
        <f t="shared" si="22"/>
        <v>Mechanizmu C3 nie da się zastosować przy poziomym ruchu żaluzji.</v>
      </c>
      <c r="N473">
        <f t="shared" si="23"/>
        <v>1</v>
      </c>
    </row>
    <row r="474" spans="1:14" ht="13.8" x14ac:dyDescent="0.3">
      <c r="A474" s="255" t="str">
        <f>výpočty!$R$15</f>
        <v>Poziomy (z lewej strony na prawą)</v>
      </c>
      <c r="B474" t="str">
        <f>výpočty!$R$11</f>
        <v>Z mecjanizmem C3</v>
      </c>
      <c r="C474" t="str">
        <f>výpočty!$R$7</f>
        <v>Nakładany z prowadzeniem metalic-line 29 mm i mechanimem C3</v>
      </c>
      <c r="D474" s="36" t="str">
        <f>výpočty!$W$11</f>
        <v>Czereśnia havana (E23)</v>
      </c>
      <c r="E474" t="s">
        <v>2130</v>
      </c>
      <c r="F474">
        <v>1</v>
      </c>
      <c r="G474" t="str">
        <f>Překlady!$A$154</f>
        <v>Mechanizmu C3 nie da się zastosować przy poziomym ruchu żaluzji.</v>
      </c>
      <c r="H474" t="str">
        <f>VLOOKUP(A:A,výpočty!$R$14:$S$15,2,FALSE)</f>
        <v>H</v>
      </c>
      <c r="I474" t="str">
        <f>VLOOKUP(B:B,výpočty!$R$9:$S$11,2,FALSE)</f>
        <v>Z</v>
      </c>
      <c r="J474" t="str">
        <f>VLOOKUP(CHYBY!C:C,výpočty!$R$3:$S$7,2,FALSE)</f>
        <v>E</v>
      </c>
      <c r="K474">
        <f>VLOOKUP(D:D,výpočty!$W$3:$X$20,2,FALSE)</f>
        <v>9</v>
      </c>
      <c r="L474" t="str">
        <f t="shared" si="21"/>
        <v>HZE9</v>
      </c>
      <c r="M474" t="str">
        <f t="shared" si="22"/>
        <v>Mechanizmu C3 nie da się zastosować przy poziomym ruchu żaluzji.</v>
      </c>
      <c r="N474">
        <f t="shared" si="23"/>
        <v>1</v>
      </c>
    </row>
    <row r="475" spans="1:14" ht="13.8" x14ac:dyDescent="0.3">
      <c r="A475" s="255" t="str">
        <f>výpočty!$R$15</f>
        <v>Poziomy (z lewej strony na prawą)</v>
      </c>
      <c r="B475" t="str">
        <f>výpočty!$R$11</f>
        <v>Z mecjanizmem C3</v>
      </c>
      <c r="C475" t="str">
        <f>výpočty!$R$7</f>
        <v>Nakładany z prowadzeniem metalic-line 29 mm i mechanimem C3</v>
      </c>
      <c r="D475" s="36" t="str">
        <f>výpočty!$W$12</f>
        <v>Calvados (E23)</v>
      </c>
      <c r="E475" t="s">
        <v>2130</v>
      </c>
      <c r="F475">
        <v>1</v>
      </c>
      <c r="G475" t="str">
        <f>Překlady!$A$154</f>
        <v>Mechanizmu C3 nie da się zastosować przy poziomym ruchu żaluzji.</v>
      </c>
      <c r="H475" t="str">
        <f>VLOOKUP(A:A,výpočty!$R$14:$S$15,2,FALSE)</f>
        <v>H</v>
      </c>
      <c r="I475" t="str">
        <f>VLOOKUP(B:B,výpočty!$R$9:$S$11,2,FALSE)</f>
        <v>Z</v>
      </c>
      <c r="J475" t="str">
        <f>VLOOKUP(CHYBY!C:C,výpočty!$R$3:$S$7,2,FALSE)</f>
        <v>E</v>
      </c>
      <c r="K475">
        <f>VLOOKUP(D:D,výpočty!$W$3:$X$20,2,FALSE)</f>
        <v>10</v>
      </c>
      <c r="L475" t="str">
        <f t="shared" si="21"/>
        <v>HZE10</v>
      </c>
      <c r="M475" t="str">
        <f t="shared" si="22"/>
        <v>Mechanizmu C3 nie da się zastosować przy poziomym ruchu żaluzji.</v>
      </c>
      <c r="N475">
        <f t="shared" si="23"/>
        <v>1</v>
      </c>
    </row>
    <row r="476" spans="1:14" ht="13.8" x14ac:dyDescent="0.3">
      <c r="A476" s="255" t="str">
        <f>výpočty!$R$15</f>
        <v>Poziomy (z lewej strony na prawą)</v>
      </c>
      <c r="B476" t="str">
        <f>výpočty!$R$11</f>
        <v>Z mecjanizmem C3</v>
      </c>
      <c r="C476" t="str">
        <f>výpočty!$R$7</f>
        <v>Nakładany z prowadzeniem metalic-line 29 mm i mechanimem C3</v>
      </c>
      <c r="D476" s="36" t="str">
        <f>výpočty!$W$14</f>
        <v>śnieżno biala mat (E9)</v>
      </c>
      <c r="E476" t="s">
        <v>2130</v>
      </c>
      <c r="F476">
        <v>1</v>
      </c>
      <c r="G476" t="str">
        <f>Překlady!$A$154</f>
        <v>Mechanizmu C3 nie da się zastosować przy poziomym ruchu żaluzji.</v>
      </c>
      <c r="H476" t="str">
        <f>VLOOKUP(A:A,výpočty!$R$14:$S$15,2,FALSE)</f>
        <v>H</v>
      </c>
      <c r="I476" t="str">
        <f>VLOOKUP(B:B,výpočty!$R$9:$S$11,2,FALSE)</f>
        <v>Z</v>
      </c>
      <c r="J476" t="str">
        <f>VLOOKUP(CHYBY!C:C,výpočty!$R$3:$S$7,2,FALSE)</f>
        <v>E</v>
      </c>
      <c r="K476">
        <f>VLOOKUP(D:D,výpočty!$W$3:$X$20,2,FALSE)</f>
        <v>12</v>
      </c>
      <c r="L476" t="str">
        <f t="shared" si="21"/>
        <v>HZE12</v>
      </c>
      <c r="M476" t="str">
        <f t="shared" si="22"/>
        <v>Mechanizmu C3 nie da się zastosować przy poziomym ruchu żaluzji.</v>
      </c>
      <c r="N476">
        <f t="shared" si="23"/>
        <v>1</v>
      </c>
    </row>
    <row r="477" spans="1:14" ht="13.8" x14ac:dyDescent="0.3">
      <c r="A477" s="255" t="str">
        <f>výpočty!$R$15</f>
        <v>Poziomy (z lewej strony na prawą)</v>
      </c>
      <c r="B477" t="str">
        <f>výpočty!$R$11</f>
        <v>Z mecjanizmem C3</v>
      </c>
      <c r="C477" t="str">
        <f>výpočty!$R$7</f>
        <v>Nakładany z prowadzeniem metalic-line 29 mm i mechanimem C3</v>
      </c>
      <c r="D477" s="36" t="str">
        <f>výpočty!$W$15</f>
        <v>Aluminowa plastik (E4)</v>
      </c>
      <c r="E477" t="s">
        <v>2130</v>
      </c>
      <c r="F477">
        <v>1</v>
      </c>
      <c r="G477" s="321" t="str">
        <f>Překlady!$A$143</f>
        <v>Kolor aluminium plastik w profilu E4 jest idealny do poziomych rozwiązań w kombinacji z prowadzeniem Classic z systemem nawijania do tyłu</v>
      </c>
      <c r="H477" t="str">
        <f>VLOOKUP(A:A,výpočty!$R$14:$S$15,2,FALSE)</f>
        <v>H</v>
      </c>
      <c r="I477" t="str">
        <f>VLOOKUP(B:B,výpočty!$R$9:$S$11,2,FALSE)</f>
        <v>Z</v>
      </c>
      <c r="J477" t="str">
        <f>VLOOKUP(CHYBY!C:C,výpočty!$R$3:$S$7,2,FALSE)</f>
        <v>E</v>
      </c>
      <c r="K477">
        <f>VLOOKUP(D:D,výpočty!$W$3:$X$20,2,FALSE)</f>
        <v>13</v>
      </c>
      <c r="L477" t="str">
        <f t="shared" si="21"/>
        <v>HZE13</v>
      </c>
      <c r="M477" t="str">
        <f t="shared" si="22"/>
        <v>Kolor aluminium plastik w profilu E4 jest idealny do poziomych rozwiązań w kombinacji z prowadzeniem Classic z systemem nawijania do tyłu</v>
      </c>
      <c r="N477">
        <f t="shared" si="23"/>
        <v>1</v>
      </c>
    </row>
    <row r="478" spans="1:14" ht="13.8" x14ac:dyDescent="0.3">
      <c r="A478" s="255" t="str">
        <f>výpočty!$R$15</f>
        <v>Poziomy (z lewej strony na prawą)</v>
      </c>
      <c r="B478" t="str">
        <f>výpočty!$R$11</f>
        <v>Z mecjanizmem C3</v>
      </c>
      <c r="C478" t="str">
        <f>výpočty!$R$7</f>
        <v>Nakładany z prowadzeniem metalic-line 29 mm i mechanimem C3</v>
      </c>
      <c r="D478" s="36">
        <f>výpočty!$W$17</f>
        <v>0</v>
      </c>
      <c r="E478" t="s">
        <v>2130</v>
      </c>
      <c r="F478">
        <v>1</v>
      </c>
      <c r="G478" t="str">
        <f>Překlady!$A$154</f>
        <v>Mechanizmu C3 nie da się zastosować przy poziomym ruchu żaluzji.</v>
      </c>
      <c r="H478" t="str">
        <f>VLOOKUP(A:A,výpočty!$R$14:$S$15,2,FALSE)</f>
        <v>H</v>
      </c>
      <c r="I478" t="str">
        <f>VLOOKUP(B:B,výpočty!$R$9:$S$11,2,FALSE)</f>
        <v>Z</v>
      </c>
      <c r="J478" t="str">
        <f>VLOOKUP(CHYBY!C:C,výpočty!$R$3:$S$7,2,FALSE)</f>
        <v>E</v>
      </c>
      <c r="K478" t="e">
        <f>VLOOKUP(D:D,výpočty!$W$3:$X$20,2,FALSE)</f>
        <v>#N/A</v>
      </c>
      <c r="L478" t="e">
        <f t="shared" si="21"/>
        <v>#N/A</v>
      </c>
      <c r="M478" t="str">
        <f t="shared" si="22"/>
        <v>Mechanizmu C3 nie da się zastosować przy poziomym ruchu żaluzji.</v>
      </c>
      <c r="N478">
        <f t="shared" si="23"/>
        <v>1</v>
      </c>
    </row>
    <row r="479" spans="1:14" ht="13.8" x14ac:dyDescent="0.3">
      <c r="A479" s="255" t="str">
        <f>výpočty!$R$15</f>
        <v>Poziomy (z lewej strony na prawą)</v>
      </c>
      <c r="B479" t="str">
        <f>výpočty!$R$11</f>
        <v>Z mecjanizmem C3</v>
      </c>
      <c r="C479" t="str">
        <f>výpočty!$R$7</f>
        <v>Nakładany z prowadzeniem metalic-line 29 mm i mechanimem C3</v>
      </c>
      <c r="D479" s="36">
        <f>výpočty!$W$18</f>
        <v>0</v>
      </c>
      <c r="E479" t="s">
        <v>2130</v>
      </c>
      <c r="F479">
        <v>1</v>
      </c>
      <c r="G479" t="str">
        <f>Překlady!$A$154</f>
        <v>Mechanizmu C3 nie da się zastosować przy poziomym ruchu żaluzji.</v>
      </c>
      <c r="H479" t="str">
        <f>VLOOKUP(A:A,výpočty!$R$14:$S$15,2,FALSE)</f>
        <v>H</v>
      </c>
      <c r="I479" t="str">
        <f>VLOOKUP(B:B,výpočty!$R$9:$S$11,2,FALSE)</f>
        <v>Z</v>
      </c>
      <c r="J479" t="str">
        <f>VLOOKUP(CHYBY!C:C,výpočty!$R$3:$S$7,2,FALSE)</f>
        <v>E</v>
      </c>
      <c r="K479" t="e">
        <f>VLOOKUP(D:D,výpočty!$W$3:$X$20,2,FALSE)</f>
        <v>#N/A</v>
      </c>
      <c r="L479" t="e">
        <f t="shared" si="21"/>
        <v>#N/A</v>
      </c>
      <c r="M479" t="str">
        <f t="shared" si="22"/>
        <v>Mechanizmu C3 nie da się zastosować przy poziomym ruchu żaluzji.</v>
      </c>
      <c r="N479">
        <f t="shared" si="23"/>
        <v>1</v>
      </c>
    </row>
    <row r="480" spans="1:14" ht="13.8" x14ac:dyDescent="0.3">
      <c r="A480" s="255" t="str">
        <f>výpočty!$R$15</f>
        <v>Poziomy (z lewej strony na prawą)</v>
      </c>
      <c r="B480" t="str">
        <f>výpočty!$R$11</f>
        <v>Z mecjanizmem C3</v>
      </c>
      <c r="C480" t="str">
        <f>výpočty!$R$7</f>
        <v>Nakładany z prowadzeniem metalic-line 29 mm i mechanimem C3</v>
      </c>
      <c r="D480" s="36" t="str">
        <f>výpočty!$W$19</f>
        <v>Aluminium szerokość 25 mm (metallic-line)</v>
      </c>
      <c r="E480" t="s">
        <v>2130</v>
      </c>
      <c r="F480">
        <v>1</v>
      </c>
      <c r="G480" t="str">
        <f>Překlady!$A$154</f>
        <v>Mechanizmu C3 nie da się zastosować przy poziomym ruchu żaluzji.</v>
      </c>
      <c r="H480" t="str">
        <f>VLOOKUP(A:A,výpočty!$R$14:$S$15,2,FALSE)</f>
        <v>H</v>
      </c>
      <c r="I480" t="str">
        <f>VLOOKUP(B:B,výpočty!$R$9:$S$11,2,FALSE)</f>
        <v>Z</v>
      </c>
      <c r="J480" t="str">
        <f>VLOOKUP(CHYBY!C:C,výpočty!$R$3:$S$7,2,FALSE)</f>
        <v>E</v>
      </c>
      <c r="K480">
        <f>VLOOKUP(D:D,výpočty!$W$3:$X$20,2,FALSE)</f>
        <v>17</v>
      </c>
      <c r="L480" t="str">
        <f t="shared" si="21"/>
        <v>HZE17</v>
      </c>
      <c r="M480" t="str">
        <f t="shared" si="22"/>
        <v>Mechanizmu C3 nie da się zastosować przy poziomym ruchu żaluzji.</v>
      </c>
      <c r="N480">
        <f t="shared" si="23"/>
        <v>1</v>
      </c>
    </row>
    <row r="481" spans="1:14" ht="14.4" thickBot="1" x14ac:dyDescent="0.35">
      <c r="A481" s="255" t="str">
        <f>výpočty!$R$15</f>
        <v>Poziomy (z lewej strony na prawą)</v>
      </c>
      <c r="B481" t="str">
        <f>výpočty!$R$11</f>
        <v>Z mecjanizmem C3</v>
      </c>
      <c r="C481" t="str">
        <f>výpočty!$R$7</f>
        <v>Nakładany z prowadzeniem metalic-line 29 mm i mechanimem C3</v>
      </c>
      <c r="D481" s="27" t="str">
        <f>výpočty!$W$20</f>
        <v>Nierdz. szerokość 25 mm (metallic-line)</v>
      </c>
      <c r="E481" t="s">
        <v>2130</v>
      </c>
      <c r="F481">
        <v>1</v>
      </c>
      <c r="G481" t="str">
        <f>Překlady!$A$154</f>
        <v>Mechanizmu C3 nie da się zastosować przy poziomym ruchu żaluzji.</v>
      </c>
      <c r="H481" t="str">
        <f>VLOOKUP(A:A,výpočty!$R$14:$S$15,2,FALSE)</f>
        <v>H</v>
      </c>
      <c r="I481" t="str">
        <f>VLOOKUP(B:B,výpočty!$R$9:$S$11,2,FALSE)</f>
        <v>Z</v>
      </c>
      <c r="J481" t="str">
        <f>VLOOKUP(CHYBY!C:C,výpočty!$R$3:$S$7,2,FALSE)</f>
        <v>E</v>
      </c>
      <c r="K481">
        <f>VLOOKUP(D:D,výpočty!$W$3:$X$20,2,FALSE)</f>
        <v>18</v>
      </c>
      <c r="L481" t="str">
        <f t="shared" si="21"/>
        <v>HZE18</v>
      </c>
      <c r="M481" t="str">
        <f t="shared" si="22"/>
        <v>Mechanizmu C3 nie da się zastosować przy poziomym ruchu żaluzji.</v>
      </c>
      <c r="N481">
        <f t="shared" si="23"/>
        <v>1</v>
      </c>
    </row>
    <row r="482" spans="1:14" x14ac:dyDescent="0.25">
      <c r="G482" s="321"/>
      <c r="M482">
        <f t="shared" si="22"/>
        <v>0</v>
      </c>
      <c r="N482">
        <f t="shared" si="23"/>
        <v>0</v>
      </c>
    </row>
  </sheetData>
  <mergeCells count="1">
    <mergeCell ref="T11:T15"/>
  </mergeCells>
  <pageMargins left="0.7" right="0.7" top="0.78740157499999996" bottom="0.78740157499999996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587A79-C573-46E7-927F-4B39B8CD6A36}">
  <sheetPr codeName="List8">
    <tabColor rgb="FF002060"/>
  </sheetPr>
  <dimension ref="A1:G58"/>
  <sheetViews>
    <sheetView zoomScale="147" workbookViewId="0">
      <selection activeCell="C2" sqref="C2"/>
    </sheetView>
  </sheetViews>
  <sheetFormatPr defaultRowHeight="13.2" x14ac:dyDescent="0.25"/>
  <cols>
    <col min="1" max="1" width="46.6640625" bestFit="1" customWidth="1"/>
    <col min="2" max="2" width="43.33203125" bestFit="1" customWidth="1"/>
    <col min="3" max="3" width="30.6640625" bestFit="1" customWidth="1"/>
  </cols>
  <sheetData>
    <row r="1" spans="1:7" x14ac:dyDescent="0.25">
      <c r="A1" s="17" t="s">
        <v>1935</v>
      </c>
      <c r="B1" s="17" t="s">
        <v>1936</v>
      </c>
      <c r="C1" s="17" t="s">
        <v>1178</v>
      </c>
      <c r="D1" s="17" t="s">
        <v>1179</v>
      </c>
      <c r="E1" s="17" t="s">
        <v>1180</v>
      </c>
      <c r="F1" s="17" t="s">
        <v>1181</v>
      </c>
      <c r="G1" s="181"/>
    </row>
    <row r="2" spans="1:7" x14ac:dyDescent="0.25">
      <c r="A2" t="s">
        <v>1310</v>
      </c>
      <c r="B2" s="321" t="s">
        <v>1938</v>
      </c>
    </row>
    <row r="3" spans="1:7" x14ac:dyDescent="0.25">
      <c r="A3" t="s">
        <v>1309</v>
      </c>
      <c r="B3" s="321" t="s">
        <v>1940</v>
      </c>
    </row>
    <row r="4" spans="1:7" x14ac:dyDescent="0.25">
      <c r="A4" t="s">
        <v>1535</v>
      </c>
      <c r="B4" t="s">
        <v>1937</v>
      </c>
    </row>
    <row r="5" spans="1:7" x14ac:dyDescent="0.25">
      <c r="A5" t="s">
        <v>1311</v>
      </c>
      <c r="B5" s="321" t="s">
        <v>1939</v>
      </c>
    </row>
    <row r="6" spans="1:7" x14ac:dyDescent="0.25">
      <c r="A6" t="s">
        <v>1530</v>
      </c>
      <c r="B6" s="321" t="s">
        <v>1988</v>
      </c>
    </row>
    <row r="13" spans="1:7" x14ac:dyDescent="0.25">
      <c r="A13" s="17" t="s">
        <v>1941</v>
      </c>
    </row>
    <row r="14" spans="1:7" x14ac:dyDescent="0.25">
      <c r="A14" s="321" t="s">
        <v>1942</v>
      </c>
      <c r="C14" s="321" t="s">
        <v>2139</v>
      </c>
    </row>
    <row r="15" spans="1:7" x14ac:dyDescent="0.25">
      <c r="A15" s="321" t="s">
        <v>1981</v>
      </c>
    </row>
    <row r="16" spans="1:7" x14ac:dyDescent="0.25">
      <c r="A16" s="321" t="s">
        <v>1943</v>
      </c>
      <c r="B16" t="s">
        <v>1982</v>
      </c>
      <c r="C16" s="321" t="s">
        <v>2139</v>
      </c>
    </row>
    <row r="17" spans="1:4" x14ac:dyDescent="0.25">
      <c r="A17" s="324" t="s">
        <v>1944</v>
      </c>
      <c r="C17" s="321" t="s">
        <v>2139</v>
      </c>
    </row>
    <row r="18" spans="1:4" x14ac:dyDescent="0.25">
      <c r="A18" s="321" t="s">
        <v>1950</v>
      </c>
      <c r="C18" s="321" t="s">
        <v>2139</v>
      </c>
    </row>
    <row r="19" spans="1:4" x14ac:dyDescent="0.25">
      <c r="A19" s="321" t="s">
        <v>1945</v>
      </c>
      <c r="C19" s="321" t="s">
        <v>2139</v>
      </c>
    </row>
    <row r="20" spans="1:4" x14ac:dyDescent="0.25">
      <c r="A20" s="321" t="s">
        <v>1946</v>
      </c>
      <c r="C20" s="321" t="s">
        <v>2139</v>
      </c>
    </row>
    <row r="21" spans="1:4" x14ac:dyDescent="0.25">
      <c r="A21" s="321" t="s">
        <v>1947</v>
      </c>
    </row>
    <row r="22" spans="1:4" x14ac:dyDescent="0.25">
      <c r="A22" s="321" t="s">
        <v>1948</v>
      </c>
      <c r="C22" s="321" t="s">
        <v>2175</v>
      </c>
    </row>
    <row r="23" spans="1:4" x14ac:dyDescent="0.25">
      <c r="A23" s="321" t="s">
        <v>1949</v>
      </c>
      <c r="C23" s="321" t="s">
        <v>2139</v>
      </c>
    </row>
    <row r="24" spans="1:4" x14ac:dyDescent="0.25">
      <c r="A24" s="321" t="s">
        <v>1951</v>
      </c>
      <c r="C24" s="321" t="s">
        <v>2139</v>
      </c>
    </row>
    <row r="25" spans="1:4" x14ac:dyDescent="0.25">
      <c r="A25" s="321" t="s">
        <v>1987</v>
      </c>
    </row>
    <row r="29" spans="1:4" x14ac:dyDescent="0.25">
      <c r="A29" s="328" t="s">
        <v>1952</v>
      </c>
    </row>
    <row r="30" spans="1:4" x14ac:dyDescent="0.25">
      <c r="A30" s="17" t="s">
        <v>1958</v>
      </c>
      <c r="B30" t="s">
        <v>1306</v>
      </c>
      <c r="C30" t="s">
        <v>1953</v>
      </c>
      <c r="D30">
        <v>353554</v>
      </c>
    </row>
    <row r="31" spans="1:4" x14ac:dyDescent="0.25">
      <c r="A31" t="s">
        <v>1971</v>
      </c>
      <c r="B31" t="s">
        <v>1959</v>
      </c>
      <c r="C31" t="s">
        <v>1954</v>
      </c>
      <c r="D31">
        <v>353559</v>
      </c>
    </row>
    <row r="32" spans="1:4" x14ac:dyDescent="0.25">
      <c r="A32" t="s">
        <v>1972</v>
      </c>
      <c r="B32" t="s">
        <v>1960</v>
      </c>
      <c r="C32" t="s">
        <v>1955</v>
      </c>
      <c r="D32">
        <v>353557</v>
      </c>
    </row>
    <row r="33" spans="1:4" x14ac:dyDescent="0.25">
      <c r="B33" t="s">
        <v>1961</v>
      </c>
      <c r="C33" t="s">
        <v>1956</v>
      </c>
      <c r="D33" t="s">
        <v>1527</v>
      </c>
    </row>
    <row r="34" spans="1:4" x14ac:dyDescent="0.25">
      <c r="B34" t="s">
        <v>1962</v>
      </c>
      <c r="C34" t="s">
        <v>1957</v>
      </c>
      <c r="D34">
        <v>353560</v>
      </c>
    </row>
    <row r="35" spans="1:4" x14ac:dyDescent="0.25">
      <c r="B35" t="s">
        <v>1963</v>
      </c>
      <c r="C35" s="321" t="s">
        <v>2008</v>
      </c>
      <c r="D35" t="s">
        <v>572</v>
      </c>
    </row>
    <row r="36" spans="1:4" x14ac:dyDescent="0.25">
      <c r="B36" t="s">
        <v>1964</v>
      </c>
      <c r="C36" t="s">
        <v>1965</v>
      </c>
      <c r="D36" t="s">
        <v>538</v>
      </c>
    </row>
    <row r="38" spans="1:4" x14ac:dyDescent="0.25">
      <c r="A38" s="17" t="s">
        <v>1966</v>
      </c>
      <c r="B38" t="s">
        <v>1306</v>
      </c>
      <c r="C38" t="s">
        <v>1953</v>
      </c>
      <c r="D38">
        <v>353554</v>
      </c>
    </row>
    <row r="39" spans="1:4" x14ac:dyDescent="0.25">
      <c r="A39" t="s">
        <v>1971</v>
      </c>
      <c r="B39" t="s">
        <v>1959</v>
      </c>
      <c r="C39" t="s">
        <v>1954</v>
      </c>
      <c r="D39">
        <v>353559</v>
      </c>
    </row>
    <row r="40" spans="1:4" x14ac:dyDescent="0.25">
      <c r="A40" t="s">
        <v>1972</v>
      </c>
      <c r="B40" t="s">
        <v>1960</v>
      </c>
      <c r="C40" t="s">
        <v>1955</v>
      </c>
      <c r="D40">
        <v>353557</v>
      </c>
    </row>
    <row r="41" spans="1:4" x14ac:dyDescent="0.25">
      <c r="A41" t="s">
        <v>1973</v>
      </c>
      <c r="B41" t="s">
        <v>1961</v>
      </c>
      <c r="C41" t="s">
        <v>1956</v>
      </c>
      <c r="D41" t="s">
        <v>1527</v>
      </c>
    </row>
    <row r="42" spans="1:4" x14ac:dyDescent="0.25">
      <c r="B42" t="s">
        <v>1962</v>
      </c>
      <c r="C42" t="s">
        <v>1957</v>
      </c>
      <c r="D42">
        <v>353560</v>
      </c>
    </row>
    <row r="43" spans="1:4" x14ac:dyDescent="0.25">
      <c r="B43" t="s">
        <v>1963</v>
      </c>
      <c r="C43" t="s">
        <v>1967</v>
      </c>
      <c r="D43" t="s">
        <v>585</v>
      </c>
    </row>
    <row r="44" spans="1:4" x14ac:dyDescent="0.25">
      <c r="C44" t="s">
        <v>1968</v>
      </c>
      <c r="D44">
        <v>353556</v>
      </c>
    </row>
    <row r="45" spans="1:4" x14ac:dyDescent="0.25">
      <c r="B45" t="s">
        <v>1964</v>
      </c>
      <c r="C45" t="s">
        <v>1969</v>
      </c>
      <c r="D45" t="s">
        <v>606</v>
      </c>
    </row>
    <row r="46" spans="1:4" x14ac:dyDescent="0.25">
      <c r="B46" t="s">
        <v>1970</v>
      </c>
    </row>
    <row r="48" spans="1:4" x14ac:dyDescent="0.25">
      <c r="A48" s="328" t="s">
        <v>1974</v>
      </c>
      <c r="B48" t="s">
        <v>1306</v>
      </c>
      <c r="C48" t="s">
        <v>1975</v>
      </c>
      <c r="D48" s="321" t="s">
        <v>636</v>
      </c>
    </row>
    <row r="49" spans="1:4" x14ac:dyDescent="0.25">
      <c r="A49" t="s">
        <v>1986</v>
      </c>
      <c r="B49" t="s">
        <v>1959</v>
      </c>
      <c r="C49" t="s">
        <v>1976</v>
      </c>
      <c r="D49" t="s">
        <v>557</v>
      </c>
    </row>
    <row r="50" spans="1:4" x14ac:dyDescent="0.25">
      <c r="B50" t="s">
        <v>1960</v>
      </c>
      <c r="C50" t="s">
        <v>1977</v>
      </c>
      <c r="D50" t="s">
        <v>468</v>
      </c>
    </row>
    <row r="51" spans="1:4" x14ac:dyDescent="0.25">
      <c r="B51" t="s">
        <v>1961</v>
      </c>
      <c r="C51" t="s">
        <v>1978</v>
      </c>
      <c r="D51" t="s">
        <v>1527</v>
      </c>
    </row>
    <row r="52" spans="1:4" x14ac:dyDescent="0.25">
      <c r="B52" t="s">
        <v>1962</v>
      </c>
      <c r="C52" t="s">
        <v>1979</v>
      </c>
      <c r="D52" t="s">
        <v>483</v>
      </c>
    </row>
    <row r="53" spans="1:4" x14ac:dyDescent="0.25">
      <c r="B53" t="s">
        <v>1963</v>
      </c>
      <c r="C53" t="s">
        <v>1980</v>
      </c>
      <c r="D53" t="s">
        <v>663</v>
      </c>
    </row>
    <row r="54" spans="1:4" x14ac:dyDescent="0.25">
      <c r="B54" t="s">
        <v>1964</v>
      </c>
      <c r="C54" t="s">
        <v>1965</v>
      </c>
      <c r="D54" t="s">
        <v>684</v>
      </c>
    </row>
    <row r="57" spans="1:4" x14ac:dyDescent="0.25">
      <c r="A57" t="s">
        <v>1983</v>
      </c>
      <c r="B57" t="s">
        <v>1985</v>
      </c>
      <c r="C57" t="s">
        <v>115</v>
      </c>
    </row>
    <row r="58" spans="1:4" x14ac:dyDescent="0.25">
      <c r="A58" t="s">
        <v>1984</v>
      </c>
      <c r="B58">
        <v>1164</v>
      </c>
    </row>
  </sheetData>
  <pageMargins left="0.7" right="0.7" top="0.78740157499999996" bottom="0.78740157499999996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9">
    <tabColor rgb="FF00B0F0"/>
    <pageSetUpPr fitToPage="1"/>
  </sheetPr>
  <dimension ref="B1:P173"/>
  <sheetViews>
    <sheetView showGridLines="0" showRowColHeaders="0" zoomScaleNormal="100" workbookViewId="0">
      <selection activeCell="R15" sqref="R15"/>
    </sheetView>
  </sheetViews>
  <sheetFormatPr defaultColWidth="9.109375" defaultRowHeight="13.8" x14ac:dyDescent="0.3"/>
  <cols>
    <col min="1" max="1" width="1.5546875" style="221" customWidth="1"/>
    <col min="2" max="2" width="3.33203125" style="221" customWidth="1"/>
    <col min="3" max="3" width="7.44140625" style="221" customWidth="1"/>
    <col min="4" max="5" width="9.109375" style="221"/>
    <col min="6" max="6" width="10" style="221" customWidth="1"/>
    <col min="7" max="7" width="7" style="221" customWidth="1"/>
    <col min="8" max="8" width="9.109375" style="221"/>
    <col min="9" max="9" width="26.109375" style="221" customWidth="1"/>
    <col min="10" max="10" width="15.88671875" style="221" customWidth="1"/>
    <col min="11" max="11" width="7.88671875" style="221" customWidth="1"/>
    <col min="12" max="12" width="10.33203125" style="221" customWidth="1"/>
    <col min="13" max="13" width="12.33203125" style="221" customWidth="1"/>
    <col min="14" max="14" width="12.109375" style="221" customWidth="1"/>
    <col min="15" max="16384" width="9.109375" style="221"/>
  </cols>
  <sheetData>
    <row r="1" spans="2:14" ht="6.75" customHeight="1" x14ac:dyDescent="0.3"/>
    <row r="2" spans="2:14" ht="28.8" x14ac:dyDescent="0.55000000000000004">
      <c r="B2" s="593" t="str">
        <f>Překlady!A141</f>
        <v xml:space="preserve">Rodzaje profili roletowych </v>
      </c>
      <c r="C2" s="594"/>
      <c r="D2" s="594"/>
      <c r="E2" s="594"/>
      <c r="F2" s="594"/>
      <c r="G2" s="594"/>
      <c r="H2" s="594"/>
      <c r="I2" s="594"/>
      <c r="J2" s="594"/>
      <c r="K2" s="594"/>
      <c r="L2" s="594"/>
      <c r="M2" s="594"/>
      <c r="N2" s="595"/>
    </row>
    <row r="3" spans="2:14" ht="6.75" customHeight="1" x14ac:dyDescent="0.3"/>
    <row r="4" spans="2:14" x14ac:dyDescent="0.3">
      <c r="C4" s="591" t="s">
        <v>1317</v>
      </c>
      <c r="D4" s="591"/>
      <c r="E4" s="591"/>
      <c r="G4" s="591" t="s">
        <v>2157</v>
      </c>
      <c r="H4" s="591"/>
      <c r="I4" s="591"/>
      <c r="K4" s="591" t="s">
        <v>2158</v>
      </c>
      <c r="L4" s="591"/>
      <c r="M4" s="591"/>
    </row>
    <row r="5" spans="2:14" x14ac:dyDescent="0.3">
      <c r="C5" s="221" t="str">
        <f>Překlady!A165</f>
        <v>plastikowe wykończenie</v>
      </c>
      <c r="G5" s="221" t="str">
        <f>Překlady!A162</f>
        <v>wygląd metaliczny</v>
      </c>
      <c r="K5" s="221" t="str">
        <f>Překlady!A162</f>
        <v>wygląd metaliczny</v>
      </c>
    </row>
    <row r="6" spans="2:14" x14ac:dyDescent="0.3">
      <c r="C6" s="221" t="str">
        <f>Překlady!A166</f>
        <v>profile w różnych kombinacjach kolorystycznych</v>
      </c>
      <c r="G6" s="221" t="str">
        <f>Překlady!A158</f>
        <v>wykończenie kolorystyczne aluminium lub stal nierdzewna</v>
      </c>
      <c r="K6" s="221" t="str">
        <f>Překlady!A158</f>
        <v>wykończenie kolorystyczne aluminium lub stal nierdzewna</v>
      </c>
    </row>
    <row r="7" spans="2:14" x14ac:dyDescent="0.3">
      <c r="C7" s="221" t="str">
        <f>Překlady!$A$20</f>
        <v>Typ systemu prowadzenia</v>
      </c>
      <c r="G7" s="221" t="str">
        <f>Překlady!A164</f>
        <v>szczebelek profilu żaluzjowego jest od wewnątrz otwarty</v>
      </c>
      <c r="K7" s="221" t="str">
        <f>Překlady!A163</f>
        <v>szczebelek profilu żaluzjowego jest zamkniety od wewnątrz</v>
      </c>
    </row>
    <row r="8" spans="2:14" x14ac:dyDescent="0.3">
      <c r="C8" s="362" t="s">
        <v>2169</v>
      </c>
      <c r="G8" s="221" t="str">
        <f>Překlady!$A$20</f>
        <v>Typ systemu prowadzenia</v>
      </c>
      <c r="K8" s="221" t="str">
        <f>Překlady!$A$20</f>
        <v>Typ systemu prowadzenia</v>
      </c>
    </row>
    <row r="9" spans="2:14" x14ac:dyDescent="0.3">
      <c r="C9" s="362" t="s">
        <v>2170</v>
      </c>
      <c r="G9" s="592" t="str">
        <f>Překlady!A159</f>
        <v>Classic (w kombinacji z plastikową prowadnicą)</v>
      </c>
      <c r="H9" s="592"/>
      <c r="I9" s="592"/>
      <c r="K9" s="363" t="str">
        <f>Překlady!A159</f>
        <v>Classic (w kombinacji z plastikową prowadnicą)</v>
      </c>
    </row>
    <row r="10" spans="2:14" x14ac:dyDescent="0.3">
      <c r="C10" s="362" t="s">
        <v>3</v>
      </c>
      <c r="G10" s="363" t="s">
        <v>3</v>
      </c>
      <c r="H10" s="363"/>
      <c r="I10" s="363"/>
      <c r="K10" s="363" t="s">
        <v>3</v>
      </c>
    </row>
    <row r="11" spans="2:14" x14ac:dyDescent="0.3">
      <c r="C11" s="362" t="s">
        <v>4</v>
      </c>
      <c r="G11" s="363" t="s">
        <v>4</v>
      </c>
      <c r="H11" s="363"/>
      <c r="I11" s="363"/>
      <c r="K11" s="363" t="s">
        <v>4</v>
      </c>
    </row>
    <row r="12" spans="2:14" ht="26.25" customHeight="1" x14ac:dyDescent="0.3">
      <c r="G12" s="596" t="str">
        <f>Překlady!A38</f>
        <v>Nakładany z prowadzeniem metalic-line 29 mm i mechanimem C3</v>
      </c>
      <c r="H12" s="596"/>
      <c r="I12" s="596"/>
      <c r="K12" s="596" t="str">
        <f>Překlady!A38</f>
        <v>Nakładany z prowadzeniem metalic-line 29 mm i mechanimem C3</v>
      </c>
      <c r="L12" s="596"/>
      <c r="M12" s="596"/>
      <c r="N12" s="596"/>
    </row>
    <row r="16" spans="2:14" ht="6.75" customHeight="1" x14ac:dyDescent="0.3"/>
    <row r="17" ht="6.75" customHeight="1" x14ac:dyDescent="0.3"/>
    <row r="18" ht="6.75" customHeight="1" x14ac:dyDescent="0.3"/>
    <row r="19" ht="6.75" customHeight="1" x14ac:dyDescent="0.3"/>
    <row r="20" ht="6.75" customHeight="1" x14ac:dyDescent="0.3"/>
    <row r="21" ht="6.75" customHeight="1" x14ac:dyDescent="0.3"/>
    <row r="22" ht="6.75" customHeight="1" x14ac:dyDescent="0.3"/>
    <row r="23" ht="6.75" customHeight="1" x14ac:dyDescent="0.3"/>
    <row r="24" ht="6.75" customHeight="1" x14ac:dyDescent="0.3"/>
    <row r="25" ht="6.75" customHeight="1" x14ac:dyDescent="0.3"/>
    <row r="26" ht="6.75" customHeight="1" x14ac:dyDescent="0.3"/>
    <row r="27" ht="6.75" customHeight="1" x14ac:dyDescent="0.3"/>
    <row r="28" ht="6.75" customHeight="1" x14ac:dyDescent="0.3"/>
    <row r="29" ht="6.75" customHeight="1" x14ac:dyDescent="0.3"/>
    <row r="30" ht="6.75" customHeight="1" x14ac:dyDescent="0.3"/>
    <row r="31" ht="6.75" customHeight="1" x14ac:dyDescent="0.3"/>
    <row r="32" ht="6.75" customHeight="1" x14ac:dyDescent="0.3"/>
    <row r="33" spans="4:11" ht="6.75" customHeight="1" x14ac:dyDescent="0.3"/>
    <row r="34" spans="4:11" ht="6.75" customHeight="1" x14ac:dyDescent="0.3"/>
    <row r="35" spans="4:11" ht="6.75" customHeight="1" x14ac:dyDescent="0.3"/>
    <row r="36" spans="4:11" ht="6.75" customHeight="1" x14ac:dyDescent="0.3"/>
    <row r="37" spans="4:11" ht="6.75" customHeight="1" x14ac:dyDescent="0.3"/>
    <row r="38" spans="4:11" ht="6.75" customHeight="1" x14ac:dyDescent="0.3"/>
    <row r="39" spans="4:11" ht="6.75" customHeight="1" x14ac:dyDescent="0.3"/>
    <row r="40" spans="4:11" ht="12" customHeight="1" x14ac:dyDescent="0.3">
      <c r="D40" s="591" t="s">
        <v>2006</v>
      </c>
      <c r="E40" s="591"/>
      <c r="F40" s="591"/>
      <c r="I40" s="591" t="s">
        <v>2005</v>
      </c>
      <c r="J40" s="591"/>
      <c r="K40" s="591"/>
    </row>
    <row r="41" spans="4:11" x14ac:dyDescent="0.3">
      <c r="D41" s="221" t="str">
        <f>Překlady!A165</f>
        <v>plastikowe wykończenie</v>
      </c>
      <c r="I41" s="221" t="str">
        <f>Překlady!A165</f>
        <v>plastikowe wykończenie</v>
      </c>
    </row>
    <row r="42" spans="4:11" x14ac:dyDescent="0.3">
      <c r="D42" s="221" t="str">
        <f>Překlady!A167</f>
        <v>na magazynie design w kolorze śnieżno białym</v>
      </c>
      <c r="I42" s="221" t="str">
        <f>Překlady!A161</f>
        <v>jedynie kolor aluminium plastik</v>
      </c>
    </row>
    <row r="43" spans="4:11" x14ac:dyDescent="0.3">
      <c r="D43" s="221" t="str">
        <f>Překlady!A160</f>
        <v>elegancki wygląd</v>
      </c>
      <c r="I43" s="221" t="str">
        <f>Překlady!A168</f>
        <v xml:space="preserve">odpowiednie do wysokich prowadzeń poziomych </v>
      </c>
    </row>
    <row r="44" spans="4:11" x14ac:dyDescent="0.3">
      <c r="D44" s="221" t="str">
        <f>Překlady!$A$20</f>
        <v>Typ systemu prowadzenia</v>
      </c>
      <c r="I44" s="221" t="str">
        <f>Překlady!$A$20</f>
        <v>Typ systemu prowadzenia</v>
      </c>
    </row>
    <row r="45" spans="4:11" x14ac:dyDescent="0.3">
      <c r="D45" s="363" t="s">
        <v>2169</v>
      </c>
      <c r="I45" s="363" t="s">
        <v>2169</v>
      </c>
    </row>
    <row r="46" spans="4:11" x14ac:dyDescent="0.3">
      <c r="D46" s="363" t="s">
        <v>3</v>
      </c>
    </row>
    <row r="47" spans="4:11" ht="6.75" customHeight="1" x14ac:dyDescent="0.3"/>
    <row r="48" spans="4:11" ht="6.75" customHeight="1" x14ac:dyDescent="0.3"/>
    <row r="49" ht="6.75" customHeight="1" x14ac:dyDescent="0.3"/>
    <row r="50" ht="6.75" customHeight="1" x14ac:dyDescent="0.3"/>
    <row r="51" ht="6.75" customHeight="1" x14ac:dyDescent="0.3"/>
    <row r="52" ht="6.75" customHeight="1" x14ac:dyDescent="0.3"/>
    <row r="53" ht="6.75" customHeight="1" x14ac:dyDescent="0.3"/>
    <row r="54" ht="6.75" customHeight="1" x14ac:dyDescent="0.3"/>
    <row r="55" ht="6.75" customHeight="1" x14ac:dyDescent="0.3"/>
    <row r="56" ht="6.75" customHeight="1" x14ac:dyDescent="0.3"/>
    <row r="57" ht="6.75" customHeight="1" x14ac:dyDescent="0.3"/>
    <row r="58" ht="6.75" customHeight="1" x14ac:dyDescent="0.3"/>
    <row r="59" ht="6.75" customHeight="1" x14ac:dyDescent="0.3"/>
    <row r="60" ht="6.75" customHeight="1" x14ac:dyDescent="0.3"/>
    <row r="61" ht="6.75" customHeight="1" x14ac:dyDescent="0.3"/>
    <row r="62" ht="6.75" customHeight="1" x14ac:dyDescent="0.3"/>
    <row r="63" ht="6.75" customHeight="1" x14ac:dyDescent="0.3"/>
    <row r="64" ht="6.75" customHeight="1" x14ac:dyDescent="0.3"/>
    <row r="65" spans="2:14" ht="6.75" customHeight="1" x14ac:dyDescent="0.3"/>
    <row r="66" spans="2:14" ht="6.75" customHeight="1" x14ac:dyDescent="0.3"/>
    <row r="67" spans="2:14" ht="6.75" customHeight="1" x14ac:dyDescent="0.3"/>
    <row r="68" spans="2:14" ht="6.75" customHeight="1" x14ac:dyDescent="0.3"/>
    <row r="69" spans="2:14" ht="6.75" customHeight="1" x14ac:dyDescent="0.3"/>
    <row r="70" spans="2:14" ht="28.8" x14ac:dyDescent="0.55000000000000004">
      <c r="B70" s="593" t="str">
        <f>Překlady!$A$14</f>
        <v>System nawijania</v>
      </c>
      <c r="C70" s="594"/>
      <c r="D70" s="594"/>
      <c r="E70" s="594"/>
      <c r="F70" s="594"/>
      <c r="G70" s="594"/>
      <c r="H70" s="594"/>
      <c r="I70" s="594"/>
      <c r="J70" s="594"/>
      <c r="K70" s="594"/>
      <c r="L70" s="594"/>
      <c r="M70" s="594"/>
      <c r="N70" s="595"/>
    </row>
    <row r="71" spans="2:14" x14ac:dyDescent="0.3">
      <c r="B71" s="222"/>
      <c r="N71" s="223"/>
    </row>
    <row r="72" spans="2:14" x14ac:dyDescent="0.3">
      <c r="B72" s="222"/>
      <c r="C72" s="614" t="str">
        <f>Překlady!$A$55</f>
        <v>Do tyłu</v>
      </c>
      <c r="D72" s="614"/>
      <c r="E72" s="614"/>
      <c r="G72" s="613" t="str">
        <f>Překlady!$A$56</f>
        <v>Do ślimaka roletowego</v>
      </c>
      <c r="H72" s="613"/>
      <c r="I72" s="227"/>
      <c r="K72" s="613" t="str">
        <f>Překlady!$A$57</f>
        <v>Z mecjanizmem C3</v>
      </c>
      <c r="L72" s="613"/>
      <c r="M72" s="613"/>
      <c r="N72" s="223"/>
    </row>
    <row r="73" spans="2:14" x14ac:dyDescent="0.3">
      <c r="B73" s="222"/>
      <c r="N73" s="223"/>
    </row>
    <row r="74" spans="2:14" x14ac:dyDescent="0.3">
      <c r="B74" s="222"/>
      <c r="N74" s="223"/>
    </row>
    <row r="75" spans="2:14" x14ac:dyDescent="0.3">
      <c r="B75" s="222"/>
      <c r="N75" s="223"/>
    </row>
    <row r="76" spans="2:14" x14ac:dyDescent="0.3">
      <c r="B76" s="222"/>
      <c r="N76" s="223"/>
    </row>
    <row r="77" spans="2:14" x14ac:dyDescent="0.3">
      <c r="B77" s="222"/>
      <c r="N77" s="223"/>
    </row>
    <row r="78" spans="2:14" x14ac:dyDescent="0.3">
      <c r="B78" s="222"/>
      <c r="N78" s="223"/>
    </row>
    <row r="79" spans="2:14" x14ac:dyDescent="0.3">
      <c r="B79" s="222"/>
      <c r="N79" s="223"/>
    </row>
    <row r="80" spans="2:14" x14ac:dyDescent="0.3">
      <c r="B80" s="222"/>
      <c r="N80" s="223"/>
    </row>
    <row r="81" spans="2:14" ht="30.75" customHeight="1" x14ac:dyDescent="0.3">
      <c r="B81" s="222"/>
      <c r="N81" s="223"/>
    </row>
    <row r="82" spans="2:14" ht="4.5" customHeight="1" x14ac:dyDescent="0.3">
      <c r="B82" s="222"/>
      <c r="N82" s="223"/>
    </row>
    <row r="83" spans="2:14" ht="4.5" customHeight="1" x14ac:dyDescent="0.3">
      <c r="B83" s="222"/>
      <c r="N83" s="223"/>
    </row>
    <row r="84" spans="2:14" ht="4.5" customHeight="1" x14ac:dyDescent="0.3">
      <c r="B84" s="222"/>
      <c r="N84" s="223"/>
    </row>
    <row r="85" spans="2:14" ht="28.8" x14ac:dyDescent="0.55000000000000004">
      <c r="B85" s="610" t="str">
        <f>Překlady!$A$19</f>
        <v>Kierunek ruchu</v>
      </c>
      <c r="C85" s="611"/>
      <c r="D85" s="611"/>
      <c r="E85" s="611"/>
      <c r="F85" s="611"/>
      <c r="G85" s="611"/>
      <c r="H85" s="611"/>
      <c r="I85" s="611"/>
      <c r="J85" s="611"/>
      <c r="K85" s="611"/>
      <c r="L85" s="611"/>
      <c r="M85" s="611"/>
      <c r="N85" s="612"/>
    </row>
    <row r="86" spans="2:14" x14ac:dyDescent="0.3">
      <c r="B86" s="222"/>
      <c r="N86" s="223"/>
    </row>
    <row r="87" spans="2:14" ht="13.5" customHeight="1" x14ac:dyDescent="0.3">
      <c r="B87" s="222"/>
      <c r="C87" s="613" t="str">
        <f>Překlady!$A$59</f>
        <v>Poziomy (z lewej strony na prawą)</v>
      </c>
      <c r="D87" s="613"/>
      <c r="E87" s="613"/>
      <c r="F87" s="613" t="str">
        <f>Překlady!$A$58</f>
        <v>Pionowy (z góry na dół)</v>
      </c>
      <c r="G87" s="613"/>
      <c r="H87" s="613"/>
      <c r="N87" s="223"/>
    </row>
    <row r="88" spans="2:14" x14ac:dyDescent="0.3">
      <c r="B88" s="222"/>
      <c r="N88" s="223"/>
    </row>
    <row r="89" spans="2:14" x14ac:dyDescent="0.3">
      <c r="B89" s="222"/>
      <c r="N89" s="223"/>
    </row>
    <row r="90" spans="2:14" x14ac:dyDescent="0.3">
      <c r="B90" s="222"/>
      <c r="N90" s="223"/>
    </row>
    <row r="91" spans="2:14" x14ac:dyDescent="0.3">
      <c r="B91" s="222"/>
      <c r="N91" s="223"/>
    </row>
    <row r="92" spans="2:14" x14ac:dyDescent="0.3">
      <c r="B92" s="222"/>
      <c r="N92" s="223"/>
    </row>
    <row r="93" spans="2:14" x14ac:dyDescent="0.3">
      <c r="B93" s="222"/>
      <c r="N93" s="223"/>
    </row>
    <row r="94" spans="2:14" x14ac:dyDescent="0.3">
      <c r="B94" s="222"/>
      <c r="N94" s="223"/>
    </row>
    <row r="95" spans="2:14" x14ac:dyDescent="0.3">
      <c r="B95" s="222"/>
      <c r="N95" s="223"/>
    </row>
    <row r="96" spans="2:14" x14ac:dyDescent="0.3">
      <c r="B96" s="222"/>
      <c r="N96" s="223"/>
    </row>
    <row r="97" spans="2:14" x14ac:dyDescent="0.3">
      <c r="B97" s="222"/>
      <c r="N97" s="223"/>
    </row>
    <row r="98" spans="2:14" x14ac:dyDescent="0.3">
      <c r="B98" s="222"/>
      <c r="N98" s="223"/>
    </row>
    <row r="99" spans="2:14" ht="5.25" customHeight="1" x14ac:dyDescent="0.3">
      <c r="B99" s="222"/>
      <c r="N99" s="223"/>
    </row>
    <row r="100" spans="2:14" ht="5.25" customHeight="1" x14ac:dyDescent="0.3">
      <c r="B100" s="222"/>
      <c r="N100" s="223"/>
    </row>
    <row r="101" spans="2:14" ht="5.25" customHeight="1" x14ac:dyDescent="0.3">
      <c r="B101" s="222"/>
      <c r="N101" s="223"/>
    </row>
    <row r="102" spans="2:14" ht="28.8" x14ac:dyDescent="0.55000000000000004">
      <c r="B102" s="605" t="str">
        <f>Překlady!$A$35</f>
        <v>Typ systemu prowadzenia</v>
      </c>
      <c r="C102" s="606"/>
      <c r="D102" s="606"/>
      <c r="E102" s="606"/>
      <c r="F102" s="606"/>
      <c r="G102" s="606"/>
      <c r="H102" s="606"/>
      <c r="I102" s="606"/>
      <c r="J102" s="606"/>
      <c r="K102" s="606"/>
      <c r="L102" s="606"/>
      <c r="M102" s="606"/>
      <c r="N102" s="607"/>
    </row>
    <row r="103" spans="2:14" x14ac:dyDescent="0.3">
      <c r="B103" s="222"/>
      <c r="N103" s="223"/>
    </row>
    <row r="104" spans="2:14" x14ac:dyDescent="0.3">
      <c r="B104" s="222"/>
      <c r="C104" s="613" t="str">
        <f>Překlady!$A$36</f>
        <v>TOP Basic - wpuszczany do przykręcenia plastikowy</v>
      </c>
      <c r="D104" s="613"/>
      <c r="E104" s="613"/>
      <c r="H104" s="613" t="str">
        <f>Překlady!$A$37</f>
        <v>Classic - wpuszczany do zafrezowania</v>
      </c>
      <c r="I104" s="613"/>
      <c r="J104" s="613"/>
      <c r="K104" s="613"/>
      <c r="N104" s="223"/>
    </row>
    <row r="105" spans="2:14" x14ac:dyDescent="0.3">
      <c r="B105" s="222"/>
      <c r="N105" s="223"/>
    </row>
    <row r="106" spans="2:14" x14ac:dyDescent="0.3">
      <c r="B106" s="222"/>
      <c r="N106" s="223"/>
    </row>
    <row r="107" spans="2:14" x14ac:dyDescent="0.3">
      <c r="B107" s="222"/>
      <c r="N107" s="223"/>
    </row>
    <row r="108" spans="2:14" x14ac:dyDescent="0.3">
      <c r="B108" s="222"/>
      <c r="N108" s="223"/>
    </row>
    <row r="109" spans="2:14" x14ac:dyDescent="0.3">
      <c r="B109" s="222"/>
      <c r="N109" s="223"/>
    </row>
    <row r="110" spans="2:14" x14ac:dyDescent="0.3">
      <c r="B110" s="222"/>
      <c r="N110" s="223"/>
    </row>
    <row r="111" spans="2:14" x14ac:dyDescent="0.3">
      <c r="B111" s="222"/>
      <c r="N111" s="223"/>
    </row>
    <row r="112" spans="2:14" x14ac:dyDescent="0.3">
      <c r="B112" s="222"/>
      <c r="N112" s="223"/>
    </row>
    <row r="113" spans="2:14" x14ac:dyDescent="0.3">
      <c r="B113" s="222"/>
      <c r="N113" s="223"/>
    </row>
    <row r="114" spans="2:14" x14ac:dyDescent="0.3">
      <c r="B114" s="222"/>
      <c r="N114" s="223"/>
    </row>
    <row r="115" spans="2:14" x14ac:dyDescent="0.3">
      <c r="B115" s="222"/>
      <c r="N115" s="223"/>
    </row>
    <row r="116" spans="2:14" x14ac:dyDescent="0.3">
      <c r="B116" s="222"/>
      <c r="N116" s="223"/>
    </row>
    <row r="117" spans="2:14" x14ac:dyDescent="0.3">
      <c r="B117" s="222"/>
      <c r="N117" s="223"/>
    </row>
    <row r="118" spans="2:14" x14ac:dyDescent="0.3">
      <c r="B118" s="222"/>
      <c r="N118" s="223"/>
    </row>
    <row r="119" spans="2:14" x14ac:dyDescent="0.3">
      <c r="B119" s="222"/>
      <c r="N119" s="223"/>
    </row>
    <row r="120" spans="2:14" x14ac:dyDescent="0.3">
      <c r="B120" s="222"/>
      <c r="N120" s="223"/>
    </row>
    <row r="121" spans="2:14" ht="9" customHeight="1" x14ac:dyDescent="0.3">
      <c r="B121" s="222"/>
      <c r="N121" s="223"/>
    </row>
    <row r="122" spans="2:14" ht="45" customHeight="1" x14ac:dyDescent="0.3">
      <c r="B122" s="289"/>
      <c r="C122" s="615" t="str">
        <f>Překlady!$A$104</f>
        <v>System do przykręcania. Tory są dostępne jedynie w unikolorach.</v>
      </c>
      <c r="D122" s="615"/>
      <c r="E122" s="615"/>
      <c r="F122" s="615"/>
      <c r="G122" s="225"/>
      <c r="H122" s="225"/>
      <c r="I122" s="225"/>
      <c r="J122" s="225"/>
      <c r="K122" s="225"/>
      <c r="L122" s="225"/>
      <c r="M122" s="225"/>
      <c r="N122" s="290"/>
    </row>
    <row r="123" spans="2:14" ht="4.5" customHeight="1" x14ac:dyDescent="0.3">
      <c r="B123" s="222"/>
      <c r="C123" s="556"/>
      <c r="D123" s="556"/>
      <c r="E123" s="556"/>
      <c r="N123" s="223"/>
    </row>
    <row r="124" spans="2:14" ht="27.75" customHeight="1" x14ac:dyDescent="0.3">
      <c r="B124" s="222"/>
      <c r="C124" s="608" t="str">
        <f>Překlady!$A$86</f>
        <v>TOP - wpuszczany do przykręcenia metalowy z listwą maskującą</v>
      </c>
      <c r="D124" s="608"/>
      <c r="E124" s="608"/>
      <c r="F124" s="608"/>
      <c r="G124" s="603" t="str">
        <f>Překlady!$A$85</f>
        <v>Frame - nakładany z listwą maskującą</v>
      </c>
      <c r="H124" s="603"/>
      <c r="I124" s="603"/>
      <c r="J124" s="224"/>
      <c r="K124" s="604" t="str">
        <f>Překlady!$A$38</f>
        <v>Nakładany z prowadzeniem metalic-line 29 mm i mechanimem C3</v>
      </c>
      <c r="L124" s="604"/>
      <c r="M124" s="604"/>
      <c r="N124" s="223"/>
    </row>
    <row r="125" spans="2:14" x14ac:dyDescent="0.3">
      <c r="B125" s="222"/>
      <c r="N125" s="223"/>
    </row>
    <row r="126" spans="2:14" x14ac:dyDescent="0.3">
      <c r="B126" s="222"/>
      <c r="N126" s="223"/>
    </row>
    <row r="127" spans="2:14" x14ac:dyDescent="0.3">
      <c r="B127" s="222"/>
      <c r="N127" s="223"/>
    </row>
    <row r="128" spans="2:14" x14ac:dyDescent="0.3">
      <c r="B128" s="222"/>
      <c r="N128" s="223"/>
    </row>
    <row r="129" spans="2:14" x14ac:dyDescent="0.3">
      <c r="B129" s="222"/>
      <c r="N129" s="223"/>
    </row>
    <row r="130" spans="2:14" x14ac:dyDescent="0.3">
      <c r="B130" s="222"/>
      <c r="N130" s="223"/>
    </row>
    <row r="131" spans="2:14" x14ac:dyDescent="0.3">
      <c r="B131" s="222"/>
      <c r="N131" s="223"/>
    </row>
    <row r="132" spans="2:14" x14ac:dyDescent="0.3">
      <c r="B132" s="222"/>
      <c r="N132" s="223"/>
    </row>
    <row r="133" spans="2:14" x14ac:dyDescent="0.3">
      <c r="B133" s="222"/>
      <c r="N133" s="223"/>
    </row>
    <row r="134" spans="2:14" x14ac:dyDescent="0.3">
      <c r="B134" s="222"/>
      <c r="N134" s="223"/>
    </row>
    <row r="135" spans="2:14" x14ac:dyDescent="0.3">
      <c r="B135" s="222"/>
      <c r="N135" s="223"/>
    </row>
    <row r="136" spans="2:14" x14ac:dyDescent="0.3">
      <c r="B136" s="222"/>
      <c r="N136" s="223"/>
    </row>
    <row r="137" spans="2:14" x14ac:dyDescent="0.3">
      <c r="B137" s="222"/>
      <c r="N137" s="223"/>
    </row>
    <row r="138" spans="2:14" x14ac:dyDescent="0.3">
      <c r="B138" s="222"/>
      <c r="N138" s="223"/>
    </row>
    <row r="139" spans="2:14" x14ac:dyDescent="0.3">
      <c r="B139" s="222"/>
      <c r="N139" s="223"/>
    </row>
    <row r="140" spans="2:14" ht="12.75" customHeight="1" x14ac:dyDescent="0.3">
      <c r="B140" s="222"/>
      <c r="C140" s="609" t="str">
        <f>Překlady!$A$99</f>
        <v>Do przykręcania. Aluminiowe listwy torowe, które mają osłony w takim samym kolorze jak rolety.</v>
      </c>
      <c r="D140" s="609"/>
      <c r="E140" s="609"/>
      <c r="G140" s="609" t="str">
        <f>CONCATENATE(Překlady!$A$100," ",Překlady!$A$101)</f>
        <v xml:space="preserve">System nakładany (FRAME). Prowadnica tego systemu składa się z dwóch części: aluminowego toru i osłony, która jest w tym samym kolorze co roleta. Tor i osłona są dostępne we wszystkich kolorach oprócz nierdz. z aluminiową powierzchnią (metallic-line). Pozostałe elementy są w wybranym kolorze (buk, brzoza...). Jeśli jest wybrany inny kolor niż aluminium albo nierdz. dno należy wpuścić o 10 mm niżej od boków, albo wyciągnąć o 18 mm. </v>
      </c>
      <c r="H140" s="609"/>
      <c r="I140" s="609"/>
      <c r="J140" s="287"/>
      <c r="K140" s="609" t="str">
        <f>Překlady!$A$173</f>
        <v>Nakładany system prowadzenia (29 mm). Chodzi o prowadzenie w kolorze aluminium lub stali nierdzewnej w profilu Metallic line i w kombinacji z mechanizmem C3. 
Prowadnice należy przed montażem przygotować zgodnie z rysunkiem poniżej.</v>
      </c>
      <c r="L140" s="609"/>
      <c r="M140" s="609"/>
      <c r="N140" s="223"/>
    </row>
    <row r="141" spans="2:14" x14ac:dyDescent="0.3">
      <c r="B141" s="222"/>
      <c r="C141" s="609"/>
      <c r="D141" s="609"/>
      <c r="E141" s="609"/>
      <c r="G141" s="609"/>
      <c r="H141" s="609"/>
      <c r="I141" s="609"/>
      <c r="J141" s="287"/>
      <c r="K141" s="609"/>
      <c r="L141" s="609"/>
      <c r="M141" s="609"/>
      <c r="N141" s="223"/>
    </row>
    <row r="142" spans="2:14" x14ac:dyDescent="0.3">
      <c r="B142" s="222"/>
      <c r="C142" s="609"/>
      <c r="D142" s="609"/>
      <c r="E142" s="609"/>
      <c r="G142" s="609"/>
      <c r="H142" s="609"/>
      <c r="I142" s="609"/>
      <c r="J142" s="287"/>
      <c r="K142" s="609"/>
      <c r="L142" s="609"/>
      <c r="M142" s="609"/>
      <c r="N142" s="223"/>
    </row>
    <row r="143" spans="2:14" x14ac:dyDescent="0.3">
      <c r="B143" s="222"/>
      <c r="C143" s="609"/>
      <c r="D143" s="609"/>
      <c r="E143" s="609"/>
      <c r="G143" s="609"/>
      <c r="H143" s="609"/>
      <c r="I143" s="609"/>
      <c r="J143" s="287"/>
      <c r="K143" s="609"/>
      <c r="L143" s="609"/>
      <c r="M143" s="609"/>
      <c r="N143" s="223"/>
    </row>
    <row r="144" spans="2:14" x14ac:dyDescent="0.3">
      <c r="B144" s="222"/>
      <c r="C144" s="609"/>
      <c r="D144" s="609"/>
      <c r="E144" s="609"/>
      <c r="G144" s="609"/>
      <c r="H144" s="609"/>
      <c r="I144" s="609"/>
      <c r="J144" s="287"/>
      <c r="K144" s="609"/>
      <c r="L144" s="609"/>
      <c r="M144" s="609"/>
      <c r="N144" s="223"/>
    </row>
    <row r="145" spans="2:14" x14ac:dyDescent="0.3">
      <c r="B145" s="222"/>
      <c r="C145" s="609"/>
      <c r="D145" s="609"/>
      <c r="E145" s="609"/>
      <c r="G145" s="609"/>
      <c r="H145" s="609"/>
      <c r="I145" s="609"/>
      <c r="J145" s="287"/>
      <c r="K145" s="609"/>
      <c r="L145" s="609"/>
      <c r="M145" s="609"/>
      <c r="N145" s="223"/>
    </row>
    <row r="146" spans="2:14" x14ac:dyDescent="0.3">
      <c r="B146" s="222"/>
      <c r="C146" s="609"/>
      <c r="D146" s="609"/>
      <c r="E146" s="609"/>
      <c r="G146" s="609"/>
      <c r="H146" s="609"/>
      <c r="I146" s="609"/>
      <c r="J146" s="287"/>
      <c r="K146" s="609"/>
      <c r="L146" s="609"/>
      <c r="M146" s="609"/>
      <c r="N146" s="223"/>
    </row>
    <row r="147" spans="2:14" x14ac:dyDescent="0.3">
      <c r="B147" s="222"/>
      <c r="C147" s="609"/>
      <c r="D147" s="609"/>
      <c r="E147" s="609"/>
      <c r="G147" s="609"/>
      <c r="H147" s="609"/>
      <c r="I147" s="609"/>
      <c r="J147" s="287"/>
      <c r="K147" s="609"/>
      <c r="L147" s="609"/>
      <c r="M147" s="609"/>
      <c r="N147" s="223"/>
    </row>
    <row r="148" spans="2:14" ht="137.25" customHeight="1" x14ac:dyDescent="0.3">
      <c r="B148" s="222"/>
      <c r="C148" s="609"/>
      <c r="D148" s="609"/>
      <c r="E148" s="609"/>
      <c r="G148" s="609"/>
      <c r="H148" s="609"/>
      <c r="I148" s="609"/>
      <c r="J148" s="287"/>
      <c r="K148" s="609"/>
      <c r="L148" s="609"/>
      <c r="M148" s="609"/>
      <c r="N148" s="223"/>
    </row>
    <row r="149" spans="2:14" ht="3" customHeight="1" x14ac:dyDescent="0.3">
      <c r="B149" s="222"/>
      <c r="N149" s="223"/>
    </row>
    <row r="150" spans="2:14" ht="3" customHeight="1" x14ac:dyDescent="0.3">
      <c r="B150" s="222"/>
      <c r="N150" s="223"/>
    </row>
    <row r="151" spans="2:14" ht="28.8" x14ac:dyDescent="0.55000000000000004">
      <c r="B151" s="605" t="str">
        <f>Překlady!$A$21</f>
        <v>Kolor</v>
      </c>
      <c r="C151" s="606"/>
      <c r="D151" s="606"/>
      <c r="E151" s="606"/>
      <c r="F151" s="606"/>
      <c r="G151" s="606"/>
      <c r="H151" s="606"/>
      <c r="I151" s="606"/>
      <c r="J151" s="606"/>
      <c r="K151" s="606"/>
      <c r="L151" s="606"/>
      <c r="M151" s="606"/>
      <c r="N151" s="607"/>
    </row>
    <row r="152" spans="2:14" x14ac:dyDescent="0.3">
      <c r="B152" s="222"/>
      <c r="N152" s="223"/>
    </row>
    <row r="153" spans="2:14" x14ac:dyDescent="0.3">
      <c r="B153" s="222"/>
      <c r="C153" s="227" t="str">
        <f>Překlady!$A$133</f>
        <v>Aluminium (metallic-line)</v>
      </c>
      <c r="F153" s="227" t="str">
        <f>Překlady!$A$61</f>
        <v>Biały (E23)</v>
      </c>
      <c r="I153" s="227" t="str">
        <f>Překlady!$A$63</f>
        <v>Aluminowa plastik (E23)</v>
      </c>
      <c r="M153" s="227" t="str">
        <f>Překlady!$A$68</f>
        <v>Czereśnia havana (E23)</v>
      </c>
      <c r="N153" s="223"/>
    </row>
    <row r="154" spans="2:14" x14ac:dyDescent="0.3">
      <c r="B154" s="222"/>
      <c r="N154" s="223"/>
    </row>
    <row r="155" spans="2:14" x14ac:dyDescent="0.3">
      <c r="B155" s="222"/>
      <c r="N155" s="223"/>
    </row>
    <row r="156" spans="2:14" x14ac:dyDescent="0.3">
      <c r="B156" s="222"/>
      <c r="N156" s="223"/>
    </row>
    <row r="157" spans="2:14" x14ac:dyDescent="0.3">
      <c r="B157" s="222"/>
      <c r="N157" s="223"/>
    </row>
    <row r="158" spans="2:14" x14ac:dyDescent="0.3">
      <c r="B158" s="222"/>
      <c r="C158" s="227" t="str">
        <f>Překlady!$A$134</f>
        <v>Nierdz. (metallic-line)</v>
      </c>
      <c r="F158" s="227" t="str">
        <f>Překlady!$A$62</f>
        <v>Szary (E23)</v>
      </c>
      <c r="I158" s="227" t="str">
        <f>Překlady!$A$67</f>
        <v>Brzoza (E23)</v>
      </c>
      <c r="M158" s="227" t="str">
        <f>Překlady!$A$69</f>
        <v>Calvados (E23)</v>
      </c>
      <c r="N158" s="223"/>
    </row>
    <row r="159" spans="2:14" x14ac:dyDescent="0.3">
      <c r="B159" s="222"/>
      <c r="N159" s="223"/>
    </row>
    <row r="160" spans="2:14" x14ac:dyDescent="0.3">
      <c r="B160" s="222"/>
      <c r="N160" s="223"/>
    </row>
    <row r="161" spans="2:16" x14ac:dyDescent="0.3">
      <c r="B161" s="222"/>
      <c r="N161" s="223"/>
    </row>
    <row r="162" spans="2:16" x14ac:dyDescent="0.3">
      <c r="B162" s="222"/>
      <c r="N162" s="223"/>
    </row>
    <row r="163" spans="2:16" x14ac:dyDescent="0.3">
      <c r="B163" s="222"/>
      <c r="F163" s="227" t="str">
        <f>Překlady!$A$60</f>
        <v>Czarny (E23)</v>
      </c>
      <c r="I163" s="227" t="str">
        <f>Překlady!$A$66</f>
        <v>Klon (E23)</v>
      </c>
      <c r="M163" s="227" t="str">
        <f>Překlady!$A$65</f>
        <v>Czereśnia (E23)</v>
      </c>
      <c r="N163" s="223"/>
    </row>
    <row r="164" spans="2:16" x14ac:dyDescent="0.3">
      <c r="B164" s="222"/>
      <c r="N164" s="223"/>
    </row>
    <row r="165" spans="2:16" x14ac:dyDescent="0.3">
      <c r="B165" s="222"/>
      <c r="N165" s="223"/>
    </row>
    <row r="166" spans="2:16" x14ac:dyDescent="0.3">
      <c r="B166" s="222"/>
      <c r="N166" s="223"/>
    </row>
    <row r="167" spans="2:16" x14ac:dyDescent="0.3">
      <c r="B167" s="222"/>
      <c r="N167" s="223"/>
    </row>
    <row r="168" spans="2:16" x14ac:dyDescent="0.3">
      <c r="B168" s="222"/>
      <c r="I168" s="227" t="str">
        <f>Překlady!$A$64</f>
        <v>Buk (E23)</v>
      </c>
      <c r="N168" s="223"/>
    </row>
    <row r="169" spans="2:16" x14ac:dyDescent="0.3">
      <c r="B169" s="222"/>
      <c r="N169" s="223"/>
    </row>
    <row r="170" spans="2:16" x14ac:dyDescent="0.3">
      <c r="B170" s="222"/>
      <c r="N170" s="223"/>
    </row>
    <row r="171" spans="2:16" x14ac:dyDescent="0.3">
      <c r="B171" s="222"/>
      <c r="N171" s="223"/>
    </row>
    <row r="172" spans="2:16" ht="15.75" customHeight="1" x14ac:dyDescent="0.3">
      <c r="B172" s="228" t="str">
        <f>'Objednávka žaluzií'!$C$69</f>
        <v>Pion.25.01</v>
      </c>
      <c r="G172" s="225"/>
      <c r="H172" s="225"/>
      <c r="I172" s="225"/>
      <c r="J172" s="225"/>
      <c r="K172" s="225"/>
      <c r="L172" s="601" t="str">
        <f>Překlady!$A$102</f>
        <v>Wzorniki kolorów są jedynie orientacyjne</v>
      </c>
      <c r="M172" s="601"/>
      <c r="N172" s="602"/>
      <c r="O172" s="226"/>
      <c r="P172" s="226"/>
    </row>
    <row r="173" spans="2:16" ht="26.25" customHeight="1" x14ac:dyDescent="0.3">
      <c r="B173" s="597" t="str">
        <f>Překlady!$A$103</f>
        <v>Instrukcje montażu są dostępne na naszym portalu www.demos24plus.com</v>
      </c>
      <c r="C173" s="598"/>
      <c r="D173" s="598"/>
      <c r="E173" s="598"/>
      <c r="F173" s="598"/>
      <c r="G173" s="598"/>
      <c r="H173" s="598"/>
      <c r="I173" s="598"/>
      <c r="J173" s="598"/>
      <c r="K173" s="598"/>
      <c r="L173" s="599" t="s">
        <v>1532</v>
      </c>
      <c r="M173" s="599"/>
      <c r="N173" s="600"/>
    </row>
  </sheetData>
  <sheetProtection algorithmName="SHA-512" hashValue="SnOIOJvD5alX1u2j7uRfhojZ68grAQm7ZGx1xy2+Gx3j7ZSU6NzvimoGGq4zkJdgY4e02AlXMn58UfjYXTncjQ==" saltValue="G0e98Nqml1k/v9+gLeAtkA==" spinCount="100000" sheet="1" selectLockedCells="1" selectUnlockedCells="1"/>
  <mergeCells count="31">
    <mergeCell ref="C123:E123"/>
    <mergeCell ref="K140:M148"/>
    <mergeCell ref="B70:N70"/>
    <mergeCell ref="B85:N85"/>
    <mergeCell ref="B102:N102"/>
    <mergeCell ref="K72:M72"/>
    <mergeCell ref="C87:E87"/>
    <mergeCell ref="F87:H87"/>
    <mergeCell ref="C72:E72"/>
    <mergeCell ref="C122:F122"/>
    <mergeCell ref="G72:H72"/>
    <mergeCell ref="C140:E148"/>
    <mergeCell ref="G140:I148"/>
    <mergeCell ref="C104:E104"/>
    <mergeCell ref="H104:K104"/>
    <mergeCell ref="B173:K173"/>
    <mergeCell ref="L173:N173"/>
    <mergeCell ref="L172:N172"/>
    <mergeCell ref="G124:I124"/>
    <mergeCell ref="K124:M124"/>
    <mergeCell ref="B151:N151"/>
    <mergeCell ref="C124:F124"/>
    <mergeCell ref="D40:F40"/>
    <mergeCell ref="I40:K40"/>
    <mergeCell ref="G9:I9"/>
    <mergeCell ref="B2:N2"/>
    <mergeCell ref="C4:E4"/>
    <mergeCell ref="K4:M4"/>
    <mergeCell ref="G4:I4"/>
    <mergeCell ref="G12:I12"/>
    <mergeCell ref="K12:N12"/>
  </mergeCells>
  <hyperlinks>
    <hyperlink ref="L173" r:id="rId1" xr:uid="{00000000-0004-0000-0500-000000000000}"/>
  </hyperlinks>
  <pageMargins left="0.70866141732283472" right="0.70866141732283472" top="0.78740157480314965" bottom="0.78740157480314965" header="0.31496062992125984" footer="0.31496062992125984"/>
  <pageSetup paperSize="9" scale="53" orientation="portrait" r:id="rId2"/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2">
    <tabColor indexed="10"/>
  </sheetPr>
  <dimension ref="A1:BE516"/>
  <sheetViews>
    <sheetView topLeftCell="AA1" zoomScale="85" zoomScaleNormal="85" workbookViewId="0">
      <selection activeCell="AE2" sqref="AE2"/>
    </sheetView>
  </sheetViews>
  <sheetFormatPr defaultRowHeight="13.2" x14ac:dyDescent="0.25"/>
  <cols>
    <col min="1" max="1" width="14.109375" customWidth="1"/>
    <col min="2" max="2" width="12.33203125" customWidth="1"/>
    <col min="3" max="3" width="11.5546875" bestFit="1" customWidth="1"/>
    <col min="4" max="4" width="11.6640625" customWidth="1"/>
    <col min="5" max="5" width="9.88671875" customWidth="1"/>
    <col min="6" max="6" width="10.88671875" customWidth="1"/>
    <col min="8" max="8" width="8.44140625" customWidth="1"/>
    <col min="9" max="9" width="10.6640625" customWidth="1"/>
    <col min="10" max="10" width="6.88671875" customWidth="1"/>
    <col min="11" max="11" width="9.88671875" customWidth="1"/>
    <col min="12" max="12" width="8.33203125" customWidth="1"/>
    <col min="18" max="18" width="24.109375" customWidth="1"/>
    <col min="23" max="23" width="36" bestFit="1" customWidth="1"/>
    <col min="24" max="25" width="18.6640625" bestFit="1" customWidth="1"/>
    <col min="26" max="26" width="17.6640625" bestFit="1" customWidth="1"/>
    <col min="27" max="27" width="34.6640625" style="41" customWidth="1"/>
    <col min="28" max="28" width="35.44140625" style="41" bestFit="1" customWidth="1"/>
    <col min="29" max="29" width="9.109375" style="41" customWidth="1"/>
    <col min="30" max="30" width="18.44140625" bestFit="1" customWidth="1"/>
    <col min="31" max="31" width="26.33203125" style="41" customWidth="1"/>
    <col min="32" max="32" width="33.44140625" bestFit="1" customWidth="1"/>
    <col min="33" max="33" width="24.109375" bestFit="1" customWidth="1"/>
    <col min="34" max="34" width="23.6640625" bestFit="1" customWidth="1"/>
    <col min="35" max="35" width="38.109375" bestFit="1" customWidth="1"/>
    <col min="36" max="36" width="39.33203125" bestFit="1" customWidth="1"/>
    <col min="37" max="37" width="18.88671875" bestFit="1" customWidth="1"/>
    <col min="41" max="41" width="32.33203125" customWidth="1"/>
    <col min="43" max="43" width="9.44140625" customWidth="1"/>
    <col min="44" max="44" width="11.33203125" bestFit="1" customWidth="1"/>
    <col min="52" max="52" width="49.109375" customWidth="1"/>
    <col min="53" max="53" width="18.6640625" bestFit="1" customWidth="1"/>
    <col min="55" max="55" width="25.5546875" customWidth="1"/>
    <col min="56" max="56" width="30.109375" customWidth="1"/>
  </cols>
  <sheetData>
    <row r="1" spans="1:54" ht="21" thickBot="1" x14ac:dyDescent="0.4">
      <c r="V1" s="1" t="s">
        <v>97</v>
      </c>
      <c r="Y1">
        <f>VLOOKUP(AA3,$Z$246:$AJ$508,(5+$AE$1),0)</f>
        <v>105.1413</v>
      </c>
      <c r="AA1" s="24" t="s">
        <v>390</v>
      </c>
      <c r="AB1" s="24">
        <f>(100-'Objednávka žaluzií'!D21)/100</f>
        <v>1</v>
      </c>
      <c r="AC1" s="177" t="s">
        <v>1182</v>
      </c>
      <c r="AD1" s="316" t="s">
        <v>1178</v>
      </c>
      <c r="AE1" s="178">
        <v>3</v>
      </c>
      <c r="AG1" s="189"/>
      <c r="AH1" s="189"/>
      <c r="AI1" s="189"/>
      <c r="AJ1" s="189"/>
      <c r="AK1" s="189"/>
      <c r="AL1" s="189"/>
      <c r="AM1" s="189"/>
      <c r="AN1" s="45" t="s">
        <v>363</v>
      </c>
      <c r="AT1" s="24"/>
    </row>
    <row r="2" spans="1:54" ht="13.8" thickBot="1" x14ac:dyDescent="0.3">
      <c r="Y2" s="322" t="s">
        <v>1932</v>
      </c>
      <c r="AA2" s="89" t="s">
        <v>126</v>
      </c>
      <c r="AB2" s="89" t="s">
        <v>127</v>
      </c>
      <c r="AC2" s="89" t="s">
        <v>373</v>
      </c>
      <c r="AD2" s="176" t="s">
        <v>128</v>
      </c>
      <c r="AE2" s="190" t="s">
        <v>126</v>
      </c>
      <c r="AF2" s="193" t="str">
        <f>$R$3</f>
        <v>TOP Basic - wpuszczany do przykręcenia plastikowy</v>
      </c>
      <c r="AG2" s="193" t="str">
        <f>$R$4</f>
        <v>Classic - wpuszczany do zafrezowania</v>
      </c>
      <c r="AH2" s="193" t="str">
        <f>$R$5</f>
        <v>Frame - nakładany z listwą maskującą</v>
      </c>
      <c r="AI2" s="193" t="str">
        <f>$R$6</f>
        <v>TOP - wpuszczany do przykręcenia metalowy z listwą maskującą</v>
      </c>
      <c r="AJ2" s="193" t="str">
        <f>$R$7</f>
        <v>Nakładany z prowadzeniem metalic-line 29 mm i mechanimem C3</v>
      </c>
      <c r="AK2" s="193"/>
      <c r="AL2" s="186"/>
      <c r="AM2" s="186"/>
      <c r="AU2" s="24"/>
    </row>
    <row r="3" spans="1:54" ht="14.4" thickBot="1" x14ac:dyDescent="0.35">
      <c r="Q3">
        <v>1</v>
      </c>
      <c r="R3" s="353" t="str">
        <f>Překlady!A36</f>
        <v>TOP Basic - wpuszczany do przykręcenia plastikowy</v>
      </c>
      <c r="S3" s="252" t="s">
        <v>2132</v>
      </c>
      <c r="T3" s="253">
        <v>3</v>
      </c>
      <c r="U3" s="318" t="s">
        <v>1929</v>
      </c>
      <c r="V3" s="252">
        <v>1</v>
      </c>
      <c r="W3" s="252" t="str">
        <f>Překlady!A60</f>
        <v>Czarny (E23)</v>
      </c>
      <c r="X3" s="252">
        <v>1</v>
      </c>
      <c r="Y3" s="253">
        <f>IF(Y4=17,V17,IF(Y4=18,V18,Y4))</f>
        <v>1</v>
      </c>
      <c r="Z3">
        <v>295</v>
      </c>
      <c r="AA3" s="90" t="s">
        <v>442</v>
      </c>
      <c r="AB3" s="179" t="str">
        <f>VLOOKUP(AA3,$Z$246:$AJ$508,(1+$AE$1),0)</f>
        <v>Adapter przedłużający do mech.C3</v>
      </c>
      <c r="AC3" s="91">
        <f>$AB$1*AD3</f>
        <v>105.1413</v>
      </c>
      <c r="AD3" s="91">
        <f>VLOOKUP(AA3,$Z$246:$AJ$508,(5+$AE$1),0)</f>
        <v>105.1413</v>
      </c>
      <c r="AE3" s="191" t="s">
        <v>129</v>
      </c>
      <c r="AF3" s="194"/>
      <c r="AG3" s="194"/>
      <c r="AH3" s="194"/>
      <c r="AI3" s="194"/>
      <c r="AJ3" s="194"/>
      <c r="AK3" s="194"/>
      <c r="AL3" s="187"/>
      <c r="AM3" s="187"/>
      <c r="AO3" s="114" t="s">
        <v>19</v>
      </c>
      <c r="AQ3" s="50" t="s">
        <v>367</v>
      </c>
      <c r="AR3" s="95" t="s">
        <v>368</v>
      </c>
      <c r="AT3" s="24"/>
      <c r="AU3" s="24"/>
    </row>
    <row r="4" spans="1:54" ht="14.4" thickBot="1" x14ac:dyDescent="0.35">
      <c r="Q4">
        <v>2</v>
      </c>
      <c r="R4" s="255" t="str">
        <f>Překlady!A37</f>
        <v>Classic - wpuszczany do zafrezowania</v>
      </c>
      <c r="S4" s="205" t="s">
        <v>2133</v>
      </c>
      <c r="T4" s="205" t="str">
        <f>VLOOKUP(VEDENI,Q3:S7,3,FALSE)</f>
        <v>C</v>
      </c>
      <c r="U4" s="205"/>
      <c r="V4" s="205">
        <v>2</v>
      </c>
      <c r="W4" s="205" t="str">
        <f>Překlady!A61</f>
        <v>Biały (E23)</v>
      </c>
      <c r="X4" s="205">
        <v>2</v>
      </c>
      <c r="Y4" s="254">
        <v>1</v>
      </c>
      <c r="Z4">
        <v>28</v>
      </c>
      <c r="AA4" s="90" t="s">
        <v>443</v>
      </c>
      <c r="AB4" s="179" t="e">
        <f>VLOOKUP(AA4,$Z$246:$AJ$508,(1+$AE$1),0)</f>
        <v>#N/A</v>
      </c>
      <c r="AC4" s="91" t="e">
        <f>$AB$1*AD4</f>
        <v>#N/A</v>
      </c>
      <c r="AD4" s="91" t="e">
        <f>VLOOKUP(AA4,$Z$246:$AJ$508,(5+$AE$1),0)</f>
        <v>#N/A</v>
      </c>
      <c r="AE4" s="191" t="s">
        <v>130</v>
      </c>
      <c r="AF4" s="194">
        <f>Odečty!B4</f>
        <v>-14</v>
      </c>
      <c r="AG4" s="194">
        <f>Odečty!C4</f>
        <v>10</v>
      </c>
      <c r="AH4" s="194">
        <f>Odečty!D4</f>
        <v>-13</v>
      </c>
      <c r="AI4" s="194" t="str">
        <f>Odečty!E4</f>
        <v>-13</v>
      </c>
      <c r="AJ4" s="194">
        <f>Odečty!F4</f>
        <v>-15</v>
      </c>
      <c r="AK4" s="194">
        <v>1</v>
      </c>
      <c r="AL4" s="187"/>
      <c r="AM4" s="187"/>
      <c r="AO4" s="414" t="s">
        <v>358</v>
      </c>
      <c r="AP4" s="616"/>
      <c r="AQ4" s="44" t="s">
        <v>357</v>
      </c>
      <c r="AR4" s="43" t="s">
        <v>360</v>
      </c>
      <c r="AS4" s="44" t="s">
        <v>359</v>
      </c>
      <c r="AT4" s="414" t="s">
        <v>361</v>
      </c>
      <c r="AU4" s="422"/>
      <c r="AV4" s="44" t="s">
        <v>362</v>
      </c>
      <c r="AW4" s="40"/>
      <c r="AY4" s="17" t="s">
        <v>364</v>
      </c>
      <c r="AZ4" s="17" t="s">
        <v>365</v>
      </c>
      <c r="BA4" t="s">
        <v>366</v>
      </c>
    </row>
    <row r="5" spans="1:54" ht="12.75" customHeight="1" x14ac:dyDescent="0.3">
      <c r="A5" s="96" t="s">
        <v>50</v>
      </c>
      <c r="B5" s="97"/>
      <c r="C5" s="97"/>
      <c r="D5" s="97"/>
      <c r="E5" s="97"/>
      <c r="F5" s="97"/>
      <c r="G5" s="97"/>
      <c r="H5" s="97"/>
      <c r="I5" s="97"/>
      <c r="J5" s="97"/>
      <c r="K5" s="97"/>
      <c r="L5" s="97"/>
      <c r="M5" s="97"/>
      <c r="N5" s="97"/>
      <c r="O5" s="98"/>
      <c r="P5" s="98"/>
      <c r="Q5">
        <v>3</v>
      </c>
      <c r="R5" s="255" t="str">
        <f>Překlady!$A$85</f>
        <v>Frame - nakładany z listwą maskującą</v>
      </c>
      <c r="S5" s="205" t="s">
        <v>2134</v>
      </c>
      <c r="T5" s="205"/>
      <c r="U5" s="205"/>
      <c r="V5" s="205">
        <v>3</v>
      </c>
      <c r="W5" s="205" t="str">
        <f>Překlady!A62</f>
        <v>Szary (E23)</v>
      </c>
      <c r="X5" s="205">
        <v>3</v>
      </c>
      <c r="Y5" s="254"/>
      <c r="Z5">
        <v>60</v>
      </c>
      <c r="AA5" s="90" t="s">
        <v>445</v>
      </c>
      <c r="AB5" s="179" t="str">
        <f>VLOOKUP(AA5,$Z$246:$AJ$508,(1+$AE$1),0)</f>
        <v>Uchwyt mechan. C3-metal.</v>
      </c>
      <c r="AC5" s="91">
        <f>$AB$1*AD5</f>
        <v>14.691560000000001</v>
      </c>
      <c r="AD5" s="91">
        <f>VLOOKUP(AA5,$Z$246:$AJ$508,(5+$AE$1),0)</f>
        <v>14.691560000000001</v>
      </c>
      <c r="AE5" s="192" t="s">
        <v>444</v>
      </c>
      <c r="AF5" s="195"/>
      <c r="AG5" s="194"/>
      <c r="AH5" s="195"/>
      <c r="AI5" s="195"/>
      <c r="AJ5" s="195"/>
      <c r="AK5" s="195"/>
      <c r="AL5" s="188"/>
      <c r="AM5" s="188"/>
      <c r="AO5" t="str">
        <f>IF(výpočty!$AY$5=0,AZ6,AZ5)</f>
        <v>Roletowy profil E23 czarny</v>
      </c>
      <c r="AQ5" t="str">
        <f>IF(výpočty!$AY$5=0,AY6,AY5)</f>
        <v>R88309</v>
      </c>
      <c r="AR5" s="95">
        <f>IF(BARVA=12,OBJ_KUSY*2.5*D9,
IF(BARVA&gt;14,
IF(NAVIJENI=3,OBJ_KUSY*2.5*O16,
IF(VEDENI=3,OBJ_KUSY*2.5*O13,
IF(VEDENI=2,OBJ_KUSY*2.5*O9,OBJ_KUSY*2.5*O8))),
IF(NAVIJENI=3,OBJ_KUSY*2.5*D16,
IF(VEDENI=3,OBJ_KUSY*2.5*D13,
IF(VEDENI=2,OBJ_KUSY*2.5*D9,OBJ_KUSY*2.5*D8)))))</f>
        <v>0</v>
      </c>
      <c r="AT5">
        <f>IF(výpočty!$AY$5=0,BA6,BA5)</f>
        <v>19.28388</v>
      </c>
      <c r="AV5" s="95">
        <f>AR5*AT5</f>
        <v>0</v>
      </c>
      <c r="AY5" s="26" t="str">
        <f>IF(BARVA=1,výpočty!AA116,
IF(BARVA=2,výpočty!AA112,
IF(BARVA=3,výpočty!AA119,
IF(BARVA=4,výpočty!AA117,
IF(BARVA=5,výpočty!AA114,
IF(BARVA=6,výpočty!AA121,
IF(BARVA=7,výpočty!AA118,
IF(BARVA=8,výpočty!AA113,0))))))))</f>
        <v>R88309</v>
      </c>
      <c r="AZ5" s="26" t="str">
        <f>IF(BARVA=1,výpočty!AB116,
IF(BARVA=2,výpočty!AB112,
IF(BARVA=3,výpočty!AB119,
IF(BARVA=4,výpočty!AB117,
IF(BARVA=5,výpočty!AB114,
IF(BARVA=6,výpočty!AB121,
IF(BARVA=7,výpočty!AB118,
IF(BARVA=8,výpočty!AB113,0))))))))</f>
        <v>Roletowy profil E23 czarny</v>
      </c>
      <c r="BA5" s="26">
        <f>IF(BARVA=1,výpočty!AC116,
IF(BARVA=2,výpočty!AC112,
IF(BARVA=3,výpočty!AC119,
IF(BARVA=4,výpočty!AC117,
IF(BARVA=5,výpočty!AC114,
IF(BARVA=6,výpočty!AC121,
IF(BARVA=7,výpočty!AC118,
IF(BARVA=8,výpočty!AC113,0))))))))</f>
        <v>19.28388</v>
      </c>
    </row>
    <row r="6" spans="1:54" ht="12.75" customHeight="1" thickBot="1" x14ac:dyDescent="0.35">
      <c r="A6" s="99"/>
      <c r="B6" s="95"/>
      <c r="C6" s="100" t="s">
        <v>19</v>
      </c>
      <c r="D6" s="100"/>
      <c r="E6" s="100"/>
      <c r="F6" s="100" t="s">
        <v>20</v>
      </c>
      <c r="G6" s="100"/>
      <c r="H6" s="100"/>
      <c r="I6" s="100" t="s">
        <v>23</v>
      </c>
      <c r="J6" s="100"/>
      <c r="K6" s="100" t="s">
        <v>24</v>
      </c>
      <c r="L6" s="95"/>
      <c r="M6" s="95"/>
      <c r="N6" s="100" t="s">
        <v>29</v>
      </c>
      <c r="O6" s="101"/>
      <c r="P6" s="101"/>
      <c r="Q6">
        <v>4</v>
      </c>
      <c r="R6" s="255" t="str">
        <f>Překlady!$A$86</f>
        <v>TOP - wpuszczany do przykręcenia metalowy z listwą maskującą</v>
      </c>
      <c r="S6" s="205" t="s">
        <v>1925</v>
      </c>
      <c r="T6" s="205"/>
      <c r="U6" s="205"/>
      <c r="V6" s="205">
        <v>4</v>
      </c>
      <c r="W6" s="205" t="str">
        <f>Překlady!A63</f>
        <v>Aluminowa plastik (E23)</v>
      </c>
      <c r="X6" s="205">
        <v>4</v>
      </c>
      <c r="Y6" s="254"/>
      <c r="Z6">
        <v>20</v>
      </c>
      <c r="AA6" s="90" t="s">
        <v>446</v>
      </c>
      <c r="AB6" s="179" t="str">
        <f>VLOOKUP(AA6,$Z$246:$AJ$508,(1+$AE$1),0)</f>
        <v>Ślizgacz do listwy koń. ALU 27mm czar.</v>
      </c>
      <c r="AC6" s="91">
        <f>$AB$1*AD6</f>
        <v>6.5917000000000003</v>
      </c>
      <c r="AD6" s="91">
        <f>VLOOKUP(AA6,$Z$246:$AJ$508,(5+$AE$1),0)</f>
        <v>6.5917000000000003</v>
      </c>
      <c r="AE6" s="191" t="s">
        <v>131</v>
      </c>
      <c r="AF6" s="194"/>
      <c r="AG6" s="194"/>
      <c r="AH6" s="194"/>
      <c r="AI6" s="194"/>
      <c r="AJ6" s="194"/>
      <c r="AK6" s="194"/>
      <c r="AL6" s="187"/>
      <c r="AM6" s="187"/>
      <c r="AR6" s="50">
        <f>IF(BARVA=12,OBJ_KUSY*2.5*D21,
IF(BARVA=13,OBJ_KUSY*2.5*D22,
IF(BARVA&gt;14,
IF(VEDENI=3,OBJ_KUSY*2.5*O25,
IF(VEDENI=2,OBJ_KUSY*2.5*O21,OBJ_KUSY*2.5*O20)),
IF(VEDENI=3,OBJ_KUSY*2.5*D25,
IF(VEDENI=2,OBJ_KUSY*2.5*D21,OBJ_KUSY*2.5*D20)))))</f>
        <v>0</v>
      </c>
      <c r="AV6" s="50">
        <f>AR6*AT5</f>
        <v>0</v>
      </c>
      <c r="AY6" s="27" t="str">
        <f>IF(BARVA=9,výpočty!AA120,
IF(BARVA=10,výpočty!AA115,
IF(BARVA=12,AA205,
IF(BARVA=13,AA201,
IF(BARVA=15,výpočty!AA91,
IF(BARVA=16,výpočty!AA92,výpočty!AA92))))))</f>
        <v>R88218</v>
      </c>
      <c r="AZ6" s="27" t="str">
        <f>IF(BARVA=9,výpočty!AB120,
IF(BARVA=10,výpočty!AB115,
IF(BARVA=12,AB205,
IF(BARVA=13,AB201,
IF(BARVA=15,výpočty!AB91,
IF(BARVA=16,výpočty!AB92,výpočty!AB92))))))</f>
        <v>Roletowy profil Matal-line 20mm nierdz 3</v>
      </c>
      <c r="BA6" s="27">
        <f>IF(BARVA=9,výpočty!AC120,
IF(BARVA=10,výpočty!AC115,
IF(BARVA=12,AC205,
IF(BARVA=13,AC201,
IF(BARVA=15,výpočty!AC91,
IF(BARVA=16,výpočty!AC92,výpočty!AC92))))))</f>
        <v>20.679410000000001</v>
      </c>
    </row>
    <row r="7" spans="1:54" ht="12.75" customHeight="1" thickBot="1" x14ac:dyDescent="0.35">
      <c r="A7" s="99"/>
      <c r="B7" s="95" t="s">
        <v>17</v>
      </c>
      <c r="C7" s="95" t="s">
        <v>16</v>
      </c>
      <c r="D7" s="95" t="s">
        <v>18</v>
      </c>
      <c r="E7" s="95"/>
      <c r="F7" s="95"/>
      <c r="G7" s="95" t="s">
        <v>22</v>
      </c>
      <c r="H7" s="95"/>
      <c r="I7" s="95" t="s">
        <v>21</v>
      </c>
      <c r="J7" s="95"/>
      <c r="K7" s="95"/>
      <c r="L7" s="95"/>
      <c r="M7" s="95" t="s">
        <v>17</v>
      </c>
      <c r="N7" s="95" t="s">
        <v>16</v>
      </c>
      <c r="O7" s="102" t="s">
        <v>45</v>
      </c>
      <c r="P7" s="102"/>
      <c r="Q7">
        <v>5</v>
      </c>
      <c r="R7" s="255" t="str">
        <f>Překlady!A38</f>
        <v>Nakładany z prowadzeniem metalic-line 29 mm i mechanimem C3</v>
      </c>
      <c r="S7" s="205" t="s">
        <v>2131</v>
      </c>
      <c r="T7" s="205"/>
      <c r="U7" s="205"/>
      <c r="V7" s="205">
        <v>5</v>
      </c>
      <c r="W7" s="205" t="str">
        <f>Překlady!A64</f>
        <v>Buk (E23)</v>
      </c>
      <c r="X7" s="205">
        <v>5</v>
      </c>
      <c r="Y7" s="254"/>
      <c r="Z7">
        <v>30</v>
      </c>
      <c r="AA7" s="90" t="s">
        <v>447</v>
      </c>
      <c r="AB7" s="179" t="str">
        <f>VLOOKUP(AA7,$Z$246:$AJ$508,(1+$AE$1),0)</f>
        <v>Ślizgacz do listwy koń. ALU Kombi szara</v>
      </c>
      <c r="AC7" s="91">
        <f>$AB$1*AD7</f>
        <v>9.7358899999999995</v>
      </c>
      <c r="AD7" s="91">
        <f>VLOOKUP(AA7,$Z$246:$AJ$508,(5+$AE$1),0)</f>
        <v>9.7358899999999995</v>
      </c>
      <c r="AE7" s="191" t="s">
        <v>369</v>
      </c>
      <c r="AF7" s="194"/>
      <c r="AG7" s="194"/>
      <c r="AH7" s="194"/>
      <c r="AI7" s="194"/>
      <c r="AJ7" s="194"/>
      <c r="AK7" s="194"/>
      <c r="AL7" s="187"/>
      <c r="AM7" s="187"/>
      <c r="AO7" t="str">
        <f>IF(BARVA&gt;14,AB12," ")</f>
        <v xml:space="preserve"> </v>
      </c>
      <c r="AQ7" t="str">
        <f>IF(BARVA&gt;14,AA12," ")</f>
        <v xml:space="preserve"> </v>
      </c>
      <c r="AR7">
        <f>EVEN(IF(BARVA&gt;14,IF(SMER=1,IF(NAVIJENI=3,(OBJ_KUSY*M13)+15,OBJ_KUSY*M13),OBJ_KUSY*M25),0))</f>
        <v>0</v>
      </c>
      <c r="AS7" t="str">
        <f>IF(BARVA&gt;14,"ks"," ")</f>
        <v xml:space="preserve"> </v>
      </c>
      <c r="AT7" t="str">
        <f>IF(BARVA&gt;14,AC12," ")</f>
        <v xml:space="preserve"> </v>
      </c>
      <c r="AV7" t="str">
        <f>IF(BARVA&gt;14,AR7*AT7," ")</f>
        <v xml:space="preserve"> </v>
      </c>
    </row>
    <row r="8" spans="1:54" ht="12.75" customHeight="1" thickBot="1" x14ac:dyDescent="0.35">
      <c r="A8" s="99" t="s">
        <v>33</v>
      </c>
      <c r="B8" s="103">
        <f>CEILING((Titulní!$B$9-46)/45,1)</f>
        <v>0</v>
      </c>
      <c r="C8" s="103">
        <f>FLOOR(2500/(Titulní!$B$11-36-9+5),1)</f>
        <v>-625</v>
      </c>
      <c r="D8" s="104">
        <f>CEILING(B8/C8,1)</f>
        <v>0</v>
      </c>
      <c r="E8" s="95"/>
      <c r="F8" s="95">
        <f>4*(Titulní!$B$9)</f>
        <v>144</v>
      </c>
      <c r="G8" s="104">
        <f t="shared" ref="G8:G14" si="0">CEILING(F8/2500,1)</f>
        <v>1</v>
      </c>
      <c r="H8" s="95"/>
      <c r="I8" s="104">
        <f>CEILING(Titulní!$B$11/1000,0.1)</f>
        <v>0.1</v>
      </c>
      <c r="J8" s="95"/>
      <c r="K8" s="104">
        <f>CEILING(Titulní!$B$11/1000,0.1)</f>
        <v>0.1</v>
      </c>
      <c r="L8" s="95"/>
      <c r="M8" s="103">
        <f>IF(Y4=17,CEILING((Titulní!$B$9-52)/25,1),
IF(Y4=18,CEILING((Titulní!$B$9-52)/25,1),CEILING((Titulní!$B$9-52)/20,1)))</f>
        <v>0</v>
      </c>
      <c r="N8" s="103">
        <f>FLOOR(2500/(Titulní!$B$11-36-12+5),1)</f>
        <v>-358</v>
      </c>
      <c r="O8" s="104">
        <f>CEILING(M8/N8,1)</f>
        <v>0</v>
      </c>
      <c r="P8" s="104"/>
      <c r="R8" s="255"/>
      <c r="S8" s="205"/>
      <c r="T8" s="205"/>
      <c r="U8" s="205"/>
      <c r="V8" s="205">
        <v>6</v>
      </c>
      <c r="W8" s="205" t="str">
        <f>Překlady!A65</f>
        <v>Czereśnia (E23)</v>
      </c>
      <c r="X8" s="205">
        <v>6</v>
      </c>
      <c r="Y8" s="254"/>
      <c r="AA8" s="90" t="s">
        <v>407</v>
      </c>
      <c r="AB8" s="179"/>
      <c r="AC8" s="91"/>
      <c r="AD8" s="91"/>
      <c r="AE8" s="191"/>
      <c r="AF8" s="194">
        <v>0</v>
      </c>
      <c r="AG8" s="194">
        <v>0</v>
      </c>
      <c r="AH8" s="194">
        <v>0</v>
      </c>
      <c r="AI8" s="194">
        <v>0</v>
      </c>
      <c r="AJ8" s="194">
        <v>0</v>
      </c>
      <c r="AK8" s="194">
        <v>0</v>
      </c>
      <c r="AL8" s="187"/>
      <c r="AM8" s="187"/>
    </row>
    <row r="9" spans="1:54" ht="12.75" customHeight="1" thickBot="1" x14ac:dyDescent="0.35">
      <c r="A9" s="99" t="s">
        <v>13</v>
      </c>
      <c r="B9" s="103">
        <f>IF(BARVA=12,
CEILING((Titulní!$B$9-46)/26.5,1),
CEILING((Titulní!$B$9-46)/45,1))</f>
        <v>0</v>
      </c>
      <c r="C9" s="103">
        <f>FLOOR(2500/(Titulní!$B$11-36+14+5),1)</f>
        <v>131</v>
      </c>
      <c r="D9" s="105">
        <f>CEILING(B9/C9,1)</f>
        <v>0</v>
      </c>
      <c r="E9" s="95"/>
      <c r="F9" s="95">
        <f>4*(Titulní!$B$9)</f>
        <v>144</v>
      </c>
      <c r="G9" s="105">
        <f t="shared" si="0"/>
        <v>1</v>
      </c>
      <c r="H9" s="95"/>
      <c r="I9" s="105">
        <f>CEILING(Titulní!$B$11/1000,0.1)</f>
        <v>0.1</v>
      </c>
      <c r="J9" s="95"/>
      <c r="K9" s="105">
        <f>CEILING(Titulní!$B$11/1000,0.1)</f>
        <v>0.1</v>
      </c>
      <c r="L9" s="95"/>
      <c r="M9" s="103">
        <f>IF(Y4=17,CEILING((Titulní!$B$9-52)/25,1),
IF(Y4=18,CEILING((Titulní!$B$9-52)/25,1),CEILING((Titulní!$B$9-52)/20,1)))</f>
        <v>0</v>
      </c>
      <c r="N9" s="103">
        <f>FLOOR(2500/(Titulní!$B$11-36+11+5),1)</f>
        <v>156</v>
      </c>
      <c r="O9" s="105">
        <f>CEILING(M9/N9,1)</f>
        <v>0</v>
      </c>
      <c r="P9" s="105"/>
      <c r="Q9">
        <v>1</v>
      </c>
      <c r="R9" s="256" t="str">
        <f>Překlady!$A$55</f>
        <v>Do tyłu</v>
      </c>
      <c r="S9" s="205" t="s">
        <v>2135</v>
      </c>
      <c r="T9" s="253">
        <v>1</v>
      </c>
      <c r="U9" s="318" t="s">
        <v>1930</v>
      </c>
      <c r="V9" s="205">
        <v>7</v>
      </c>
      <c r="W9" s="205" t="str">
        <f>Překlady!A66</f>
        <v>Klon (E23)</v>
      </c>
      <c r="X9" s="205">
        <v>7</v>
      </c>
      <c r="Y9" s="254"/>
      <c r="Z9">
        <v>39</v>
      </c>
      <c r="AA9" s="90" t="s">
        <v>448</v>
      </c>
      <c r="AB9" s="179" t="e">
        <f t="shared" ref="AB9:AB37" si="1">VLOOKUP(AA9,$Z$246:$AJ$508,(1+$AE$1),0)</f>
        <v>#N/A</v>
      </c>
      <c r="AC9" s="91" t="e">
        <f t="shared" ref="AC9:AC37" si="2">$AB$1*AD9</f>
        <v>#N/A</v>
      </c>
      <c r="AD9" s="91" t="e">
        <f t="shared" ref="AD9:AD37" si="3">VLOOKUP(AA9,$Z$246:$AJ$508,(5+$AE$1),0)</f>
        <v>#N/A</v>
      </c>
      <c r="AE9" s="191" t="s">
        <v>132</v>
      </c>
      <c r="AF9" s="194"/>
      <c r="AG9" s="194"/>
      <c r="AH9" s="194"/>
      <c r="AI9" s="194"/>
      <c r="AJ9" s="194"/>
      <c r="AK9" s="194"/>
      <c r="AL9" s="187"/>
      <c r="AM9" s="187"/>
      <c r="AO9" s="114" t="s">
        <v>24</v>
      </c>
      <c r="AQ9" s="50" t="s">
        <v>367</v>
      </c>
      <c r="AR9" s="95" t="s">
        <v>368</v>
      </c>
      <c r="AT9" s="24"/>
      <c r="AU9" s="24"/>
    </row>
    <row r="10" spans="1:54" ht="12.75" customHeight="1" thickBot="1" x14ac:dyDescent="0.35">
      <c r="A10" s="99" t="s">
        <v>14</v>
      </c>
      <c r="B10" s="103">
        <f>IF(BARVA=12,
CEILING((Titulní!$B$9-46)/26.5,1),
CEILING((Titulní!$B$9-46)/45,1))</f>
        <v>0</v>
      </c>
      <c r="C10" s="103">
        <f>FLOOR(2500/(Titulní!$B$11-36-9+5),1)</f>
        <v>-625</v>
      </c>
      <c r="D10" s="105">
        <f>CEILING(B10/C10,1)</f>
        <v>0</v>
      </c>
      <c r="E10" s="95"/>
      <c r="F10" s="95">
        <f>2*(Titulní!$B$9)</f>
        <v>72</v>
      </c>
      <c r="G10" s="105">
        <f t="shared" si="0"/>
        <v>1</v>
      </c>
      <c r="H10" s="95"/>
      <c r="I10" s="105">
        <f>CEILING(Titulní!$B$11/1000,0.1)</f>
        <v>0.1</v>
      </c>
      <c r="J10" s="95"/>
      <c r="K10" s="105">
        <f>CEILING(Titulní!$B$11/1000,0.1)</f>
        <v>0.1</v>
      </c>
      <c r="L10" s="95"/>
      <c r="M10" s="103">
        <f>IF(Y4=17,CEILING((Titulní!$B$9-52)/25,1),
IF(Y4=18,CEILING((Titulní!$B$9-52)/25,1),CEILING((Titulní!$B$9-52)/20,1)))</f>
        <v>0</v>
      </c>
      <c r="N10" s="103">
        <f>FLOOR(2500/(Titulní!$B$11-36-12+5),1)</f>
        <v>-358</v>
      </c>
      <c r="O10" s="105">
        <f>CEILING(M10/N10,1)</f>
        <v>0</v>
      </c>
      <c r="P10" s="105"/>
      <c r="Q10">
        <v>2</v>
      </c>
      <c r="R10" s="256" t="str">
        <f>Překlady!A56</f>
        <v>Do ślimaka roletowego</v>
      </c>
      <c r="S10" s="205" t="s">
        <v>2136</v>
      </c>
      <c r="T10" s="205" t="str">
        <f>VLOOKUP(T9,Q9:S11,3,FALSE)</f>
        <v>X</v>
      </c>
      <c r="U10" s="205"/>
      <c r="V10" s="205">
        <v>8</v>
      </c>
      <c r="W10" s="205" t="str">
        <f>Překlady!A67</f>
        <v>Brzoza (E23)</v>
      </c>
      <c r="X10" s="205">
        <v>8</v>
      </c>
      <c r="Y10" s="254"/>
      <c r="Z10">
        <v>39</v>
      </c>
      <c r="AA10" s="90" t="s">
        <v>449</v>
      </c>
      <c r="AB10" s="179" t="str">
        <f t="shared" si="1"/>
        <v>Ślizgacz do R95817 jas.szary</v>
      </c>
      <c r="AC10" s="91">
        <f t="shared" si="2"/>
        <v>13.00919</v>
      </c>
      <c r="AD10" s="91">
        <f t="shared" si="3"/>
        <v>13.00919</v>
      </c>
      <c r="AE10" s="191" t="s">
        <v>133</v>
      </c>
      <c r="AF10" s="194"/>
      <c r="AG10" s="194"/>
      <c r="AH10" s="194"/>
      <c r="AI10" s="194"/>
      <c r="AJ10" s="194"/>
      <c r="AK10" s="194"/>
      <c r="AL10" s="187"/>
      <c r="AM10" s="187"/>
      <c r="AO10" s="414" t="s">
        <v>358</v>
      </c>
      <c r="AP10" s="616"/>
      <c r="AQ10" s="44" t="s">
        <v>357</v>
      </c>
      <c r="AR10" s="43" t="s">
        <v>360</v>
      </c>
      <c r="AS10" s="44" t="s">
        <v>359</v>
      </c>
      <c r="AT10" s="414" t="s">
        <v>361</v>
      </c>
      <c r="AU10" s="422"/>
      <c r="AV10" s="44" t="s">
        <v>362</v>
      </c>
      <c r="AW10" s="40"/>
      <c r="AX10" s="109" t="s">
        <v>370</v>
      </c>
      <c r="AY10" s="17" t="s">
        <v>364</v>
      </c>
      <c r="AZ10" s="17" t="s">
        <v>365</v>
      </c>
      <c r="BA10" t="s">
        <v>366</v>
      </c>
    </row>
    <row r="11" spans="1:54" ht="12.75" customHeight="1" x14ac:dyDescent="0.3">
      <c r="A11" s="99"/>
      <c r="B11" s="103"/>
      <c r="C11" s="103"/>
      <c r="D11" s="105"/>
      <c r="E11" s="95" t="s">
        <v>36</v>
      </c>
      <c r="F11" s="95">
        <f>2*Titulní!$B$9</f>
        <v>72</v>
      </c>
      <c r="G11" s="105">
        <f t="shared" si="0"/>
        <v>1</v>
      </c>
      <c r="H11" s="95"/>
      <c r="I11" s="105"/>
      <c r="J11" s="95"/>
      <c r="K11" s="105"/>
      <c r="L11" s="95"/>
      <c r="M11" s="103"/>
      <c r="N11" s="103"/>
      <c r="O11" s="105"/>
      <c r="P11" s="105"/>
      <c r="Q11">
        <v>3</v>
      </c>
      <c r="R11" s="255" t="str">
        <f>Překlady!A57</f>
        <v>Z mecjanizmem C3</v>
      </c>
      <c r="S11" s="205" t="s">
        <v>2137</v>
      </c>
      <c r="T11" s="205"/>
      <c r="U11" s="205"/>
      <c r="V11" s="205">
        <v>9</v>
      </c>
      <c r="W11" s="205" t="str">
        <f>Překlady!A68</f>
        <v>Czereśnia havana (E23)</v>
      </c>
      <c r="X11" s="205">
        <v>9</v>
      </c>
      <c r="Y11" s="254"/>
      <c r="Z11">
        <v>39</v>
      </c>
      <c r="AA11" s="90" t="s">
        <v>450</v>
      </c>
      <c r="AB11" s="179" t="str">
        <f t="shared" si="1"/>
        <v>Ślizgacz do R95817 czarny</v>
      </c>
      <c r="AC11" s="91">
        <f t="shared" si="2"/>
        <v>13.00919</v>
      </c>
      <c r="AD11" s="91">
        <f t="shared" si="3"/>
        <v>13.00919</v>
      </c>
      <c r="AE11" s="191" t="s">
        <v>134</v>
      </c>
      <c r="AF11" s="194"/>
      <c r="AG11" s="194"/>
      <c r="AH11" s="194"/>
      <c r="AI11" s="194"/>
      <c r="AJ11" s="194"/>
      <c r="AK11" s="194"/>
      <c r="AL11" s="187"/>
      <c r="AM11" s="187"/>
      <c r="AO11" t="str">
        <f>IF(výpočty!$AY$11=0,AZ12,AZ11)</f>
        <v>Listwa końcowa czarna</v>
      </c>
      <c r="AQ11" t="str">
        <f>IF(výpočty!$AY$11=0,AY12,AY11)</f>
        <v>R88198</v>
      </c>
      <c r="AR11" s="95">
        <f>OBJ_KUSY*K8</f>
        <v>0</v>
      </c>
      <c r="AS11" t="s">
        <v>124</v>
      </c>
      <c r="AT11">
        <f>IF(výpočty!$AY$11=0,BA12,BA11)</f>
        <v>69.139859999999999</v>
      </c>
      <c r="AV11" s="95">
        <f>AR11*AT11</f>
        <v>0</v>
      </c>
      <c r="AY11" s="26" t="str">
        <f>IF(BARVA=1,výpočty!AA30,
IF(BARVA=2,výpočty!AA26,
IF(BARVA=3,výpočty!AA35,
IF(BARVA=4,výpočty!AA31,
IF(BARVA=5,výpočty!AA28,
IF(BARVA=6,výpočty!AA37,
IF(BARVA=7,výpočty!AA32,
IF(BARVA=8,výpočty!AA27,0))))))))</f>
        <v>R88198</v>
      </c>
      <c r="AZ11" s="26" t="str">
        <f>IF(BARVA=1,výpočty!AB30,
IF(BARVA=2,výpočty!AB26,
IF(BARVA=3,výpočty!AB35,
IF(BARVA=4,výpočty!AB31,
IF(BARVA=5,výpočty!AB28,
IF(BARVA=6,výpočty!AB37,
IF(BARVA=7,výpočty!AB32,
IF(BARVA=8,výpočty!AB27,0))))))))</f>
        <v>Listwa końcowa czarna</v>
      </c>
      <c r="BA11" s="26">
        <f>IF(BARVA=1,výpočty!AC30,IF(BARVA=2,výpočty!AC26,IF(BARVA=3,výpočty!AC35,IF(BARVA=4,výpočty!AC31,IF(BARVA=5,výpočty!AC28,IF(BARVA=6,výpočty!AC37,IF(BARVA=7,výpočty!AC32,IF(BARVA=8,výpočty!AC27,0))))))))</f>
        <v>69.139859999999999</v>
      </c>
    </row>
    <row r="12" spans="1:54" ht="12.75" customHeight="1" thickBot="1" x14ac:dyDescent="0.35">
      <c r="A12" s="99"/>
      <c r="B12" s="103"/>
      <c r="C12" s="103"/>
      <c r="D12" s="105"/>
      <c r="E12" s="95" t="s">
        <v>25</v>
      </c>
      <c r="F12" s="95">
        <f>2*Titulní!$B$9</f>
        <v>72</v>
      </c>
      <c r="G12" s="105">
        <f>CEILING(F12/1000,0.5)</f>
        <v>0.5</v>
      </c>
      <c r="H12" s="95" t="s">
        <v>124</v>
      </c>
      <c r="I12" s="105"/>
      <c r="J12" s="95"/>
      <c r="K12" s="105"/>
      <c r="L12" s="95"/>
      <c r="M12" s="103"/>
      <c r="N12" s="103"/>
      <c r="O12" s="105"/>
      <c r="P12" s="105"/>
      <c r="R12" s="255"/>
      <c r="S12" s="205"/>
      <c r="T12" s="205"/>
      <c r="U12" s="205"/>
      <c r="V12" s="205">
        <v>10</v>
      </c>
      <c r="W12" s="205" t="str">
        <f>Překlady!A69</f>
        <v>Calvados (E23)</v>
      </c>
      <c r="X12" s="205">
        <v>10</v>
      </c>
      <c r="Y12" s="254"/>
      <c r="Z12">
        <v>4</v>
      </c>
      <c r="AA12" s="90" t="str">
        <f>IF(Y4=17,AA245,IF(Y4=18,AA245,"R92835"))</f>
        <v>R92835</v>
      </c>
      <c r="AB12" s="179" t="str">
        <f t="shared" si="1"/>
        <v>Ślizgacz Metallic-line 20mm nierdz czarn</v>
      </c>
      <c r="AC12" s="91">
        <f t="shared" si="2"/>
        <v>0.60260999999999998</v>
      </c>
      <c r="AD12" s="91">
        <f t="shared" si="3"/>
        <v>0.60260999999999998</v>
      </c>
      <c r="AE12" s="191" t="s">
        <v>135</v>
      </c>
      <c r="AF12" s="194"/>
      <c r="AG12" s="194"/>
      <c r="AH12" s="194"/>
      <c r="AI12" s="194"/>
      <c r="AJ12" s="194"/>
      <c r="AK12" s="194"/>
      <c r="AL12" s="187"/>
      <c r="AM12" s="187"/>
      <c r="AR12" s="50">
        <f>OBJ_KUSY*K20</f>
        <v>0</v>
      </c>
      <c r="AV12" s="50">
        <f>AR12*AT11</f>
        <v>0</v>
      </c>
      <c r="AY12" s="27" t="str">
        <f>IF(BARVA=9,výpočty!AA36,
IF(BARVA=10,výpočty!AA29,
IF(BARVA=12,AA207,
IF(BARVA=13,AA31,
IF(BARVA=15,výpočty!AA23,výpočty!AA25)))))</f>
        <v>R92837</v>
      </c>
      <c r="AZ12" s="27" t="str">
        <f>IF(BARVA=9,výpočty!AB36,
IF(BARVA=10,výpočty!AB29,
IF(BARVA=12,AB207,
IF(BARVA=13,AB31,
IF(BARVA=15,výpočty!AB23,výpočty!AB25)))))</f>
        <v>Listwa końcowa ALU Kombi nierdz 360L</v>
      </c>
      <c r="BA12" s="27">
        <f>IF(BARVA=9,výpočty!AC36,
IF(BARVA=10,výpočty!AC29,
IF(BARVA=12,AC207,
IF(BARVA=15,výpočty!AC23,výpočty!AC25))))</f>
        <v>224.55905000000001</v>
      </c>
    </row>
    <row r="13" spans="1:54" ht="12.75" customHeight="1" thickBot="1" x14ac:dyDescent="0.35">
      <c r="A13" s="99" t="s">
        <v>15</v>
      </c>
      <c r="B13" s="103">
        <f>CEILING((Titulní!$B$9-26)/45,1)</f>
        <v>1</v>
      </c>
      <c r="C13" s="103">
        <f>FLOOR(2500/(Titulní!$B$11-36-9+5),1)</f>
        <v>-625</v>
      </c>
      <c r="D13" s="106">
        <f>CEILING(B13/C13,1)</f>
        <v>0</v>
      </c>
      <c r="E13" s="95"/>
      <c r="F13" s="95">
        <f>2*((Titulní!$B$9))</f>
        <v>72</v>
      </c>
      <c r="G13" s="105">
        <f t="shared" si="0"/>
        <v>1</v>
      </c>
      <c r="H13" s="95"/>
      <c r="I13" s="106">
        <f>CEILING(Titulní!$B$11/1000,0.1)</f>
        <v>0.1</v>
      </c>
      <c r="J13" s="95"/>
      <c r="K13" s="106">
        <f>CEILING(Titulní!$B$11/1000,0.1)</f>
        <v>0.1</v>
      </c>
      <c r="L13" s="95"/>
      <c r="M13" s="103">
        <f>IF(Y4=17,CEILING((Titulní!$B$9-35)/25,1),
IF(Y4=18,CEILING((Titulní!$B$9-35)/25,1),CEILING((Titulní!$B$9-35)/20,1)))</f>
        <v>1</v>
      </c>
      <c r="N13" s="103">
        <f>FLOOR(2500/(Titulní!$B$11-36-12+5),1)</f>
        <v>-358</v>
      </c>
      <c r="O13" s="106">
        <f>CEILING(M13/N13,1)</f>
        <v>0</v>
      </c>
      <c r="P13" s="106"/>
      <c r="R13" s="255"/>
      <c r="S13" s="205"/>
      <c r="T13" s="205"/>
      <c r="U13" s="205"/>
      <c r="V13" s="205">
        <v>11</v>
      </c>
      <c r="W13" s="205"/>
      <c r="X13" s="205">
        <v>11</v>
      </c>
      <c r="Y13" s="254"/>
      <c r="Z13" s="172" t="s">
        <v>1191</v>
      </c>
      <c r="AA13" s="90">
        <v>77094</v>
      </c>
      <c r="AB13" s="179" t="e">
        <f t="shared" si="1"/>
        <v>#N/A</v>
      </c>
      <c r="AC13" s="91" t="e">
        <f t="shared" si="2"/>
        <v>#N/A</v>
      </c>
      <c r="AD13" s="91" t="e">
        <f t="shared" si="3"/>
        <v>#N/A</v>
      </c>
      <c r="AE13" s="191" t="s">
        <v>136</v>
      </c>
      <c r="AF13" s="194"/>
      <c r="AG13" s="194"/>
      <c r="AH13" s="194"/>
      <c r="AI13" s="194"/>
      <c r="AJ13" s="194"/>
      <c r="AK13" s="194"/>
      <c r="AL13" s="187"/>
      <c r="AM13" s="187"/>
      <c r="AN13" s="110" t="s">
        <v>4</v>
      </c>
      <c r="AO13" s="110" t="str">
        <f>IF(BARVA=15,AB33,IF(výpočty!AY13=0,AB231,AB34))</f>
        <v>Listwa końcowa z uskokiem ALU dolna częś</v>
      </c>
      <c r="AP13" s="110"/>
      <c r="AQ13" s="110" t="str">
        <f>IF(BARVA=15,AA33,IF(výpočty!AY13=0,AA231,AA34))</f>
        <v>R95817</v>
      </c>
      <c r="AR13" s="110">
        <f>IF(SMER=1,OBJ_KUSY*K8,OBJ_KUSY*K20)</f>
        <v>0</v>
      </c>
      <c r="AS13" s="110" t="s">
        <v>124</v>
      </c>
      <c r="AT13" s="110">
        <f>IF(BARVA=15,AC33,IF(výpočty!AY13=0,AC231,AC34))</f>
        <v>178.88355999999999</v>
      </c>
      <c r="AU13" s="110"/>
      <c r="AV13" s="110">
        <f>AT13*AR13</f>
        <v>0</v>
      </c>
      <c r="AW13" s="110"/>
      <c r="AX13" s="110"/>
      <c r="AY13" s="112" t="str">
        <f>IF(BARVA=1,výpočty!AA77,
IF(BARVA=2,výpočty!AA74,
IF(BARVA=3,výpočty!AA80,
IF(BARVA=4,výpočty!AA78,
IF(BARVA=5,výpočty!AA73,
IF(BARVA=6,výpočty!AA81,
IF(BARVA=7,výpočty!AA79,
IF(BARVA=8,výpočty!AA75,0))))))))</f>
        <v>R96071</v>
      </c>
      <c r="AZ13" s="112" t="str">
        <f>IF(BARVA=1,výpočty!AB77,
IF(BARVA=2,výpočty!AB74,
IF(BARVA=3,výpočty!AB80,
IF(BARVA=4,výpočty!AB78,
IF(BARVA=5,výpočty!AB73,
IF(BARVA=6,výpočty!AB81,
IF(BARVA=7,výpočty!AB79,
IF(BARVA=8,výpočty!AB75,0))))))))</f>
        <v>Osłona lis.koń.z uskokiem czarna</v>
      </c>
      <c r="BA13" s="112">
        <f>IF(BARVA=1,výpočty!AC77,
IF(BARVA=2,výpočty!AC74,
IF(BARVA=3,výpočty!AC80,
IF(BARVA=4,výpočty!AC78,
IF(BARVA=5,výpočty!AC73,
IF(BARVA=6,výpočty!AC81,
IF(BARVA=7,výpočty!AC79,
IF(BARVA=8,výpočty!AC75,0))))))))</f>
        <v>26.355560000000001</v>
      </c>
      <c r="BB13" s="110"/>
    </row>
    <row r="14" spans="1:54" ht="12.75" customHeight="1" thickBot="1" x14ac:dyDescent="0.35">
      <c r="A14" s="99"/>
      <c r="B14" s="95"/>
      <c r="C14" s="95"/>
      <c r="D14" s="95"/>
      <c r="E14" s="95" t="s">
        <v>36</v>
      </c>
      <c r="F14" s="95">
        <f>2*(Titulní!$B$9)</f>
        <v>72</v>
      </c>
      <c r="G14" s="106">
        <f t="shared" si="0"/>
        <v>1</v>
      </c>
      <c r="H14" s="95"/>
      <c r="I14" s="95"/>
      <c r="J14" s="95"/>
      <c r="K14" s="95"/>
      <c r="L14" s="95"/>
      <c r="M14" s="95" t="s">
        <v>35</v>
      </c>
      <c r="N14" s="100">
        <f>CEILING(Titulní!$B$11/1000,0.1)</f>
        <v>0.1</v>
      </c>
      <c r="O14" s="102"/>
      <c r="P14" s="102"/>
      <c r="Q14">
        <v>1</v>
      </c>
      <c r="R14" s="255" t="str">
        <f>Překlady!A58</f>
        <v>Pionowy (z góry na dół)</v>
      </c>
      <c r="S14" s="205" t="s">
        <v>1335</v>
      </c>
      <c r="T14" s="205" t="s">
        <v>12</v>
      </c>
      <c r="U14" s="319">
        <v>1</v>
      </c>
      <c r="V14" s="205">
        <v>12</v>
      </c>
      <c r="W14" t="str">
        <f>Překlady!$A$139</f>
        <v>śnieżno biala mat (E9)</v>
      </c>
      <c r="X14" s="205">
        <v>12</v>
      </c>
      <c r="Y14" s="254"/>
      <c r="Z14">
        <v>3.2</v>
      </c>
      <c r="AA14" s="90" t="s">
        <v>452</v>
      </c>
      <c r="AB14" s="179" t="str">
        <f t="shared" si="1"/>
        <v>Ślizgacz do śr.list.uchw. Czarny</v>
      </c>
      <c r="AC14" s="91" t="e">
        <f t="shared" si="2"/>
        <v>#N/A</v>
      </c>
      <c r="AD14" s="91" t="e">
        <f t="shared" si="3"/>
        <v>#N/A</v>
      </c>
      <c r="AE14" s="191" t="s">
        <v>137</v>
      </c>
      <c r="AF14" s="194"/>
      <c r="AG14" s="194"/>
      <c r="AH14" s="194"/>
      <c r="AI14" s="194"/>
      <c r="AJ14" s="194"/>
      <c r="AK14" s="194"/>
      <c r="AL14" s="187"/>
      <c r="AM14" s="187"/>
      <c r="AN14" s="110"/>
      <c r="AO14" s="110" t="str">
        <f>IF(výpočty!$AZ$13=0," ",AZ13)</f>
        <v>Osłona lis.koń.z uskokiem czarna</v>
      </c>
      <c r="AP14" s="110"/>
      <c r="AQ14" s="110" t="str">
        <f>IF(výpočty!$S$22=0,AY14,AY13)</f>
        <v>R96071</v>
      </c>
      <c r="AR14" s="110">
        <f>IF(výpočty!$AZ$13=0," ",IF(SMER=1,OBJ_KUSY*K8,OBJ_KUSY*K20))</f>
        <v>0</v>
      </c>
      <c r="AS14" s="110" t="str">
        <f>IF(výpočty!$AZ$13=0," ","bm")</f>
        <v>bm</v>
      </c>
      <c r="AT14" s="110">
        <f>IF(výpočty!$AZ$13=0," ",IF(výpočty!$S$22=0,BA14,BA13))</f>
        <v>26.355560000000001</v>
      </c>
      <c r="AU14" s="110"/>
      <c r="AV14" s="110">
        <f>IF(výpočty!$AZ$13=0," ",AT14*AR14)</f>
        <v>0</v>
      </c>
      <c r="AW14" s="110"/>
      <c r="AX14" s="110"/>
      <c r="AY14" s="113" t="str">
        <f>IF(BARVA=9," ",
IF(BARVA=10," ",
IF(BARVA=11," "," ")))</f>
        <v xml:space="preserve"> </v>
      </c>
      <c r="AZ14" s="113" t="str">
        <f>IF(BARVA=9,Překlady!$A$84,
IF(BARVA=10,Překlady!$A$84,
IF(BARVA=11,Překlady!$A$84,Překlady!$A$84)))</f>
        <v>nie można</v>
      </c>
      <c r="BA14" s="113">
        <f>IF(BARVA=9,,IF(BARVA=10,0,IF(BARVA=11,0,0)))</f>
        <v>0</v>
      </c>
      <c r="BB14" s="110"/>
    </row>
    <row r="15" spans="1:54" ht="12.75" customHeight="1" thickBot="1" x14ac:dyDescent="0.35">
      <c r="A15" s="99"/>
      <c r="B15" s="95"/>
      <c r="C15" s="95"/>
      <c r="D15" s="95"/>
      <c r="E15" s="95" t="s">
        <v>25</v>
      </c>
      <c r="F15" s="95">
        <f>2*(Titulní!$B$9)</f>
        <v>72</v>
      </c>
      <c r="G15" s="105">
        <f>CEILING(F15/1000,0.5)</f>
        <v>0.5</v>
      </c>
      <c r="H15" s="95" t="s">
        <v>124</v>
      </c>
      <c r="I15" s="95"/>
      <c r="J15" s="95"/>
      <c r="K15" s="95"/>
      <c r="L15" s="95"/>
      <c r="M15" s="95"/>
      <c r="N15" s="100"/>
      <c r="O15" s="102"/>
      <c r="P15" s="102"/>
      <c r="Q15">
        <v>2</v>
      </c>
      <c r="R15" s="255" t="str">
        <f>Překlady!A59</f>
        <v>Poziomy (z lewej strony na prawą)</v>
      </c>
      <c r="S15" s="205" t="s">
        <v>2138</v>
      </c>
      <c r="T15" s="205" t="str">
        <f>VLOOKUP(U14,Q14:S15,3,FALSE)</f>
        <v>V</v>
      </c>
      <c r="U15" s="320" t="s">
        <v>1931</v>
      </c>
      <c r="V15" s="205">
        <v>13</v>
      </c>
      <c r="W15" t="str">
        <f>Překlady!$A$140</f>
        <v>Aluminowa plastik (E4)</v>
      </c>
      <c r="X15" s="205">
        <v>13</v>
      </c>
      <c r="Y15" s="254"/>
      <c r="Z15">
        <v>58</v>
      </c>
      <c r="AA15" s="90" t="s">
        <v>453</v>
      </c>
      <c r="AB15" s="179" t="str">
        <f t="shared" si="1"/>
        <v>Ślizgacz 8mm z ham.jas.brąz (buk)</v>
      </c>
      <c r="AC15" s="91">
        <f t="shared" si="2"/>
        <v>18.350619999999999</v>
      </c>
      <c r="AD15" s="91">
        <f t="shared" si="3"/>
        <v>18.350619999999999</v>
      </c>
      <c r="AE15" s="191" t="s">
        <v>138</v>
      </c>
      <c r="AF15" s="194"/>
      <c r="AG15" s="194"/>
      <c r="AH15" s="194"/>
      <c r="AI15" s="194"/>
      <c r="AJ15" s="194"/>
      <c r="AK15" s="194"/>
      <c r="AL15" s="187"/>
      <c r="AM15" s="187"/>
      <c r="AN15" s="110"/>
      <c r="AO15" s="110" t="str">
        <f>AZ15</f>
        <v>Ślizgacz do R95817 czarny</v>
      </c>
      <c r="AP15" s="110"/>
      <c r="AQ15" s="110" t="str">
        <f>AY15</f>
        <v>R96088</v>
      </c>
      <c r="AR15" s="110">
        <f>OBJ_KUSY*1</f>
        <v>0</v>
      </c>
      <c r="AS15" s="110"/>
      <c r="AT15" s="110">
        <f>BA15</f>
        <v>13.00919</v>
      </c>
      <c r="AU15" s="110"/>
      <c r="AV15" s="110">
        <f>AT15*AR15</f>
        <v>0</v>
      </c>
      <c r="AW15" s="110"/>
      <c r="AX15" s="110"/>
      <c r="AY15" s="115" t="str">
        <f>IF('Objednávka žaluzií'!C36=výpočty!AA74,výpočty!AA10,
IF(BARVA&lt;3,výpočty!AA11,
IF(BARVA&lt;9,výpočty!AA10,
IF(BARVA=15,výpočty!AA10,výpočty!AA10))))</f>
        <v>R96088</v>
      </c>
      <c r="AZ15" s="115" t="str">
        <f>IF('Objednávka žaluzií'!C36=výpočty!AB74,výpočty!AB10,
IF(BARVA&lt;3,výpočty!AB11,
IF(BARVA&lt;9,výpočty!AB10,
IF(BARVA=15,výpočty!AB10,výpočty!AB10))))</f>
        <v>Ślizgacz do R95817 czarny</v>
      </c>
      <c r="BA15" s="115">
        <f>IF(BARVA&lt;3,výpočty!AC11,
IF(BARVA&lt;9,výpočty!AC10,
IF(BARVA=15,výpočty!AC10,výpočty!AC10)))</f>
        <v>13.00919</v>
      </c>
      <c r="BB15" s="110"/>
    </row>
    <row r="16" spans="1:54" ht="12.75" customHeight="1" thickBot="1" x14ac:dyDescent="0.35">
      <c r="A16" s="107" t="s">
        <v>380</v>
      </c>
      <c r="B16" s="108">
        <f>CEILING((Titulní!$B$9-46+270)/45,1)</f>
        <v>6</v>
      </c>
      <c r="C16" s="108">
        <f>FLOOR(2500/(Titulní!$B$11-36-9+5),1)</f>
        <v>-625</v>
      </c>
      <c r="D16" s="104">
        <f>CEILING(B16/C16,1)</f>
        <v>0</v>
      </c>
      <c r="E16" s="108"/>
      <c r="F16" s="95">
        <f>2*(Titulní!$B$9)</f>
        <v>72</v>
      </c>
      <c r="G16" s="105">
        <f>CEILING(F16/1000,0.5)</f>
        <v>0.5</v>
      </c>
      <c r="H16" s="108"/>
      <c r="I16" s="108"/>
      <c r="J16" s="108"/>
      <c r="K16" s="108"/>
      <c r="L16" s="108" t="s">
        <v>380</v>
      </c>
      <c r="M16" s="108">
        <f>IF(Y4=17,CEILING((Titulní!$B$9-52+300)/25,1),IF(Y4=18,CEILING((Titulní!$B$9-52+300)/25,1),CEILING((Titulní!$B$9-52+300)/20,1)))</f>
        <v>15</v>
      </c>
      <c r="N16" s="108">
        <f>FLOOR(2500/(Titulní!$B$11-36-12+5),1)</f>
        <v>-358</v>
      </c>
      <c r="O16" s="104">
        <f>CEILING(M16/N16,1)</f>
        <v>0</v>
      </c>
      <c r="P16" s="104"/>
      <c r="R16" s="255"/>
      <c r="S16" s="205"/>
      <c r="T16" s="205"/>
      <c r="U16" s="205"/>
      <c r="V16" s="205">
        <v>14</v>
      </c>
      <c r="X16" s="205">
        <v>14</v>
      </c>
      <c r="Y16" s="31"/>
      <c r="Z16">
        <v>58</v>
      </c>
      <c r="AA16" s="90" t="s">
        <v>1527</v>
      </c>
      <c r="AB16" s="179" t="str">
        <f t="shared" si="1"/>
        <v>Ślizgacz 8 mm z hamulcem biały</v>
      </c>
      <c r="AC16" s="91">
        <f t="shared" si="2"/>
        <v>18.350619999999999</v>
      </c>
      <c r="AD16" s="91">
        <f t="shared" si="3"/>
        <v>18.350619999999999</v>
      </c>
      <c r="AE16" s="191" t="s">
        <v>139</v>
      </c>
      <c r="AF16" s="194"/>
      <c r="AG16" s="194"/>
      <c r="AH16" s="194"/>
      <c r="AI16" s="194"/>
      <c r="AJ16" s="194"/>
      <c r="AK16" s="194"/>
      <c r="AL16" s="187"/>
      <c r="AM16" s="187"/>
      <c r="AO16" t="str">
        <f>IF(SMER=1,
IF(výpočty!$AY$18=0,AZ19,AZ18),
IF(výpočty!$AY$16=0,AZ17,AZ16))</f>
        <v>Ślizgacz 8mm z hamulcem czarny</v>
      </c>
      <c r="AQ16" t="str">
        <f>IF(SMER=1,
IF(výpočty!$AY$18=0,AY19,AY18),
IF(výpočty!$AY$16=0,AY17,AY16))</f>
        <v>R95974</v>
      </c>
      <c r="AR16">
        <f>OBJ_KUSY*1</f>
        <v>0</v>
      </c>
      <c r="AS16" t="s">
        <v>372</v>
      </c>
      <c r="AT16">
        <f>IF(SMER=1,
IF(výpočty!$AY$18=0,BA19,BA18),
IF(výpočty!$AY$16=0,BA17,BA16))</f>
        <v>18.350619999999999</v>
      </c>
      <c r="AV16">
        <f>AT16*AR16</f>
        <v>0</v>
      </c>
      <c r="AX16" t="s">
        <v>371</v>
      </c>
      <c r="AY16" s="26" t="str">
        <f>IF(BARVA=1,výpočty!AA20,
IF(BARVA=2,výpočty!AA19,
IF(BARVA=3,výpočty!AA22,
IF(BARVA=4,výpočty!AA22,
IF(BARVA=5,výpočty!AA21,
IF(BARVA=6,výpočty!AA21,
IF(BARVA=7,výpočty!AA21,
IF(BARVA=8,výpočty!AA21,
IF(BARVA=12,AA19,
IF(BARVA=13,AA204,0))))))))))</f>
        <v>R92824</v>
      </c>
      <c r="AZ16" s="26" t="str">
        <f>IF(BARVA=1,výpočty!AB20,
IF(BARVA=2,výpočty!AB19,
IF(BARVA=3,výpočty!AB22,
IF(BARVA=4,výpočty!AB22,
IF(BARVA=5,výpočty!AB21,
IF(BARVA=6,výpočty!AB21,
IF(BARVA=7,výpočty!AB21,
IF(BARVA=8,výpočty!AB21,
IF(BARVA=12,AB19,
IF(BARVA=13,AB204))))))))))</f>
        <v>Ślizgacz 8 mm czarny</v>
      </c>
      <c r="BA16" s="26">
        <f>IF(BARVA=1,výpočty!AC20,
IF(BARVA=2,výpočty!AC19,
IF(BARVA=3,výpočty!AC22,
IF(BARVA=4,výpočty!AC22,
IF(BARVA=5,výpočty!AC21,
IF(BARVA=6,výpočty!AC21,
IF(BARVA=7,výpočty!AC21,
IF(BARVA=8,výpočty!AC21,
IF(BARVA=12,AC19,
IF(BARVA=13,AC22,0))))))))))</f>
        <v>8.5023300000000006</v>
      </c>
    </row>
    <row r="17" spans="1:57" ht="12.75" customHeight="1" thickBot="1" x14ac:dyDescent="0.35">
      <c r="A17" s="46" t="s">
        <v>51</v>
      </c>
      <c r="B17" s="47"/>
      <c r="C17" s="47"/>
      <c r="D17" s="47"/>
      <c r="E17" s="47"/>
      <c r="F17" s="47"/>
      <c r="G17" s="61"/>
      <c r="H17" s="47"/>
      <c r="I17" s="47"/>
      <c r="J17" s="47"/>
      <c r="K17" s="47"/>
      <c r="L17" s="47"/>
      <c r="M17" s="47"/>
      <c r="N17" s="47"/>
      <c r="O17" s="48"/>
      <c r="P17" s="48"/>
      <c r="R17" s="255"/>
      <c r="S17" s="205"/>
      <c r="T17" s="205"/>
      <c r="U17" s="205">
        <v>14</v>
      </c>
      <c r="V17" s="205">
        <v>15</v>
      </c>
      <c r="W17" s="205"/>
      <c r="X17" s="205">
        <v>15</v>
      </c>
      <c r="Y17" s="254"/>
      <c r="Z17">
        <v>58</v>
      </c>
      <c r="AA17" s="90" t="s">
        <v>455</v>
      </c>
      <c r="AB17" s="179" t="str">
        <f t="shared" si="1"/>
        <v>Ślizgacz 8mm z hamulcem czarny</v>
      </c>
      <c r="AC17" s="91">
        <f t="shared" si="2"/>
        <v>18.350619999999999</v>
      </c>
      <c r="AD17" s="91">
        <f t="shared" si="3"/>
        <v>18.350619999999999</v>
      </c>
      <c r="AE17" s="191" t="s">
        <v>140</v>
      </c>
      <c r="AF17" s="194"/>
      <c r="AG17" s="194"/>
      <c r="AH17" s="194"/>
      <c r="AI17" s="194"/>
      <c r="AJ17" s="194"/>
      <c r="AK17" s="194"/>
      <c r="AL17" s="187"/>
      <c r="AM17" s="187"/>
      <c r="AO17" t="str">
        <f>IF(BARVA&gt;14,AB4," ")</f>
        <v xml:space="preserve"> </v>
      </c>
      <c r="AQ17" t="str">
        <f>IF(BARVA&gt;14,AA4," ")</f>
        <v xml:space="preserve"> </v>
      </c>
      <c r="AR17" s="95" t="str">
        <f>IF(BARVA&gt;14,OBJ_KUSY*K8," ")</f>
        <v xml:space="preserve"> </v>
      </c>
      <c r="AS17" t="str">
        <f>IF(BARVA&gt;14,"bm"," ")</f>
        <v xml:space="preserve"> </v>
      </c>
      <c r="AT17" t="str">
        <f>IF(BARVA&gt;14,AC4," ")</f>
        <v xml:space="preserve"> </v>
      </c>
      <c r="AV17" s="95" t="str">
        <f>IF(BARVA&gt;14,AT17*AR17," ")</f>
        <v xml:space="preserve"> </v>
      </c>
      <c r="AY17" s="27" t="str">
        <f>IF(BARVA=9,výpočty!AA21,
IF(BARVA=10,výpočty!AA21,
IF(BARVA=15,výpočty!AA7,výpočty!AA7)))</f>
        <v>R92838</v>
      </c>
      <c r="AZ17" s="27" t="str">
        <f>IF(BARVA=9,výpočty!AB21,
IF(BARVA=10,výpočty!AB21,
IF(BARVA=15,výpočty!AB7,výpočty!AB7)))</f>
        <v>Ślizgacz do listwy koń. ALU Kombi szara</v>
      </c>
      <c r="BA17" s="27">
        <f>IF(BARVA=9,výpočty!AC21,
IF(BARVA=10,výpočty!AC21,
IF(BARVA=11," ",IF(BARVA=15,výpočty!AC7,výpočty!AC7))))</f>
        <v>9.7358899999999995</v>
      </c>
    </row>
    <row r="18" spans="1:57" ht="12.75" customHeight="1" x14ac:dyDescent="0.3">
      <c r="A18" s="49"/>
      <c r="B18" s="50"/>
      <c r="C18" s="51" t="s">
        <v>19</v>
      </c>
      <c r="D18" s="51"/>
      <c r="E18" s="51"/>
      <c r="F18" s="51" t="s">
        <v>20</v>
      </c>
      <c r="G18" s="51"/>
      <c r="H18" s="51"/>
      <c r="I18" s="51" t="s">
        <v>23</v>
      </c>
      <c r="J18" s="51"/>
      <c r="K18" s="51" t="s">
        <v>24</v>
      </c>
      <c r="L18" s="50"/>
      <c r="M18" s="50"/>
      <c r="N18" s="51" t="s">
        <v>29</v>
      </c>
      <c r="O18" s="52"/>
      <c r="P18" s="52"/>
      <c r="R18" s="255"/>
      <c r="S18" s="205"/>
      <c r="T18" s="205"/>
      <c r="U18" s="205">
        <v>15</v>
      </c>
      <c r="V18" s="205">
        <v>16</v>
      </c>
      <c r="W18" s="205"/>
      <c r="X18" s="205">
        <v>16</v>
      </c>
      <c r="Y18" s="254"/>
      <c r="Z18">
        <v>58</v>
      </c>
      <c r="AA18" s="90" t="s">
        <v>454</v>
      </c>
      <c r="AB18" s="179" t="str">
        <f t="shared" si="1"/>
        <v>Ślizgacz 8mm z hamulcem szary</v>
      </c>
      <c r="AC18" s="91">
        <f t="shared" si="2"/>
        <v>18.350619999999999</v>
      </c>
      <c r="AD18" s="91">
        <f t="shared" si="3"/>
        <v>18.350619999999999</v>
      </c>
      <c r="AE18" s="191" t="s">
        <v>141</v>
      </c>
      <c r="AF18" s="194"/>
      <c r="AG18" s="194"/>
      <c r="AH18" s="194"/>
      <c r="AI18" s="194"/>
      <c r="AJ18" s="194"/>
      <c r="AK18" s="194"/>
      <c r="AL18" s="187"/>
      <c r="AM18" s="187"/>
      <c r="AR18" s="50" t="str">
        <f>IF(BARVA&gt;14,OBJ_KUSY*K20," ")</f>
        <v xml:space="preserve"> </v>
      </c>
      <c r="AV18" s="50" t="str">
        <f>IF(BARVA&gt;14,AT17*AR18," ")</f>
        <v xml:space="preserve"> </v>
      </c>
      <c r="AX18" t="s">
        <v>409</v>
      </c>
      <c r="AY18" t="str">
        <f>IF(NAVIJENI=3,AY16,BB18)</f>
        <v>R95974</v>
      </c>
      <c r="AZ18" t="str">
        <f>IF(NAVIJENI=3,AZ16,BC18)</f>
        <v>Ślizgacz 8mm z hamulcem czarny</v>
      </c>
      <c r="BA18">
        <f>IF(NAVIJENI=3,BA16,BD18)</f>
        <v>18.350619999999999</v>
      </c>
      <c r="BB18" t="str">
        <f>IF(BARVA=1,výpočty!AA17,
IF(BARVA=2,výpočty!AA16,
IF(BARVA=3,výpočty!AA18,
IF(BARVA=4,výpočty!AA18,
IF(BARVA=5,výpočty!AA15,
IF(BARVA=6,výpočty!AA15,
IF(BARVA=7,výpočty!AA15,
IF(BARVA=8,výpočty!AA15,
IF(BARVA=12,AA16,
IF(BARVA=13,AA204,0))))))))))</f>
        <v>R95974</v>
      </c>
      <c r="BC18" t="str">
        <f>IF(BARVA=1,výpočty!AB17,
IF(BARVA=2,výpočty!AB16,
IF(BARVA=3,výpočty!AB18,
IF(BARVA=4,výpočty!AB18,
IF(BARVA=5,výpočty!AB15,
IF(BARVA=6,výpočty!AB15,
IF(BARVA=7,výpočty!AB15,
IF(BARVA=8,výpočty!AB15,
IF(BARVA=12,AB16,
IF(BARVA=13,AB204,0))))))))))</f>
        <v>Ślizgacz 8mm z hamulcem czarny</v>
      </c>
      <c r="BD18">
        <f>IF(BARVA=1,výpočty!AC17,
IF(BARVA=2,výpočty!AC16,
IF(BARVA=3,výpočty!AC18,
IF(BARVA=4,výpočty!AC18,
IF(BARVA=5,výpočty!AC15,
IF(BARVA=6,výpočty!AC15,
IF(BARVA=7,výpočty!AC15,
IF(BARVA=8,výpočty!AC15,
IF(BARVA=12,AC16,
IF(BARVA=13,AC204,0))))))))))</f>
        <v>18.350619999999999</v>
      </c>
    </row>
    <row r="19" spans="1:57" ht="14.4" thickBot="1" x14ac:dyDescent="0.35">
      <c r="A19" s="49"/>
      <c r="B19" s="50" t="s">
        <v>17</v>
      </c>
      <c r="C19" s="50" t="s">
        <v>16</v>
      </c>
      <c r="D19" s="50" t="s">
        <v>18</v>
      </c>
      <c r="E19" s="50"/>
      <c r="F19" s="50"/>
      <c r="G19" s="50" t="s">
        <v>22</v>
      </c>
      <c r="H19" s="50"/>
      <c r="I19" s="50" t="s">
        <v>21</v>
      </c>
      <c r="J19" s="50"/>
      <c r="K19" s="50"/>
      <c r="L19" s="50"/>
      <c r="M19" s="50" t="s">
        <v>17</v>
      </c>
      <c r="N19" s="50" t="s">
        <v>16</v>
      </c>
      <c r="O19" s="53" t="s">
        <v>45</v>
      </c>
      <c r="P19" s="53"/>
      <c r="R19" s="255"/>
      <c r="S19" s="205"/>
      <c r="T19" s="205"/>
      <c r="U19" s="205">
        <v>16</v>
      </c>
      <c r="V19" s="205">
        <v>15</v>
      </c>
      <c r="W19" s="205" t="str">
        <f>Překlady!A116</f>
        <v>Aluminium szerokość 25 mm (metallic-line)</v>
      </c>
      <c r="X19" s="205">
        <v>17</v>
      </c>
      <c r="Y19" s="31"/>
      <c r="Z19">
        <v>25.5</v>
      </c>
      <c r="AA19" s="90" t="s">
        <v>456</v>
      </c>
      <c r="AB19" s="179" t="str">
        <f t="shared" si="1"/>
        <v>Ślizgacz 8 mm biały</v>
      </c>
      <c r="AC19" s="91">
        <f t="shared" si="2"/>
        <v>8.5023300000000006</v>
      </c>
      <c r="AD19" s="91">
        <f t="shared" si="3"/>
        <v>8.5023300000000006</v>
      </c>
      <c r="AE19" s="191" t="s">
        <v>142</v>
      </c>
      <c r="AF19" s="194"/>
      <c r="AG19" s="194"/>
      <c r="AH19" s="194"/>
      <c r="AI19" s="194"/>
      <c r="AJ19" s="194"/>
      <c r="AK19" s="194"/>
      <c r="AL19" s="187"/>
      <c r="AM19" s="187"/>
      <c r="AS19" s="111"/>
      <c r="AY19" t="str">
        <f>IF(NAVIJENI=3,AY17,IF(BARVA=9,výpočty!AA15,IF(BARVA=10,výpočty!AA15,IF(BARVA=11," ",IF(BARVA=15,výpočty!AA7,výpočty!AA7)))))</f>
        <v>R92838</v>
      </c>
      <c r="AZ19" t="str">
        <f>IF(NAVIJENI=3,AZ17,
IF(BARVA=9,výpočty!AB15,
IF(BARVA=10,výpočty!AB15,
IF(BARVA=11," ",
IF(BARVA=15,výpočty!AB7,výpočty!AB7)))))</f>
        <v>Ślizgacz do listwy koń. ALU Kombi szara</v>
      </c>
      <c r="BA19">
        <f>IF(NAVIJENI=3,BA17,IF(BARVA=9,výpočty!AC15,IF(BARVA=10,výpočty!AC15,IF(BARVA=11," ",IF(BARVA=15,výpočty!AC7,výpočty!AC7)))))</f>
        <v>9.7358899999999995</v>
      </c>
    </row>
    <row r="20" spans="1:57" ht="14.4" thickBot="1" x14ac:dyDescent="0.35">
      <c r="A20" s="49" t="s">
        <v>33</v>
      </c>
      <c r="B20" s="54">
        <f>CEILING((Titulní!$B$11-46)/45,1)</f>
        <v>0</v>
      </c>
      <c r="C20" s="54">
        <f>FLOOR(2500/(Titulní!$B$9-36-9+5),1)</f>
        <v>-625</v>
      </c>
      <c r="D20" s="55">
        <f>CEILING(B20/C20,1)</f>
        <v>0</v>
      </c>
      <c r="E20" s="50"/>
      <c r="F20" s="50">
        <f>2*(Titulní!$B$11+(Titulní!$B$11-Titulní!$B$13)+Titulní!$B$13)</f>
        <v>144</v>
      </c>
      <c r="G20" s="55">
        <f t="shared" ref="G20:G26" si="4">CEILING(F20/2500,1)</f>
        <v>1</v>
      </c>
      <c r="H20" s="50"/>
      <c r="I20" s="55">
        <f>CEILING(Titulní!$B$9/1000,0.1)</f>
        <v>0.1</v>
      </c>
      <c r="J20" s="50"/>
      <c r="K20" s="55">
        <f>CEILING(Titulní!$B$9/1000,0.1)</f>
        <v>0.1</v>
      </c>
      <c r="L20" s="50"/>
      <c r="M20" s="54">
        <f>IF(Y4=17,CEILING((Titulní!$B$11-52)/25,1),
IF(Y4=18,CEILING((Titulní!$B$11-52)/25,1),CEILING((Titulní!$B$11-52)/20,1)))</f>
        <v>0</v>
      </c>
      <c r="N20" s="54">
        <f>FLOOR(2500/(Titulní!$B$9-36-12+5),1)</f>
        <v>-358</v>
      </c>
      <c r="O20" s="55">
        <f>CEILING(M20/N20,1)</f>
        <v>0</v>
      </c>
      <c r="P20" s="55"/>
      <c r="R20" s="255"/>
      <c r="S20" s="205"/>
      <c r="T20" s="205"/>
      <c r="U20" s="205">
        <v>17</v>
      </c>
      <c r="V20" s="205">
        <v>16</v>
      </c>
      <c r="W20" s="205" t="str">
        <f>Překlady!A117</f>
        <v>Nierdz. szerokość 25 mm (metallic-line)</v>
      </c>
      <c r="X20" s="205">
        <v>18</v>
      </c>
      <c r="Y20" s="31"/>
      <c r="Z20">
        <v>25.5</v>
      </c>
      <c r="AA20" s="90" t="s">
        <v>457</v>
      </c>
      <c r="AB20" s="179" t="str">
        <f t="shared" si="1"/>
        <v>Ślizgacz 8 mm czarny</v>
      </c>
      <c r="AC20" s="91">
        <f t="shared" si="2"/>
        <v>8.5023300000000006</v>
      </c>
      <c r="AD20" s="91">
        <f t="shared" si="3"/>
        <v>8.5023300000000006</v>
      </c>
      <c r="AE20" s="191" t="s">
        <v>143</v>
      </c>
      <c r="AF20" s="194"/>
      <c r="AG20" s="194"/>
      <c r="AH20" s="194"/>
      <c r="AI20" s="194"/>
      <c r="AJ20" s="194"/>
      <c r="AK20" s="194"/>
      <c r="AL20" s="187"/>
      <c r="AM20" s="187"/>
      <c r="AO20" s="114" t="s">
        <v>23</v>
      </c>
      <c r="AQ20" s="50" t="s">
        <v>367</v>
      </c>
      <c r="AR20" s="95" t="s">
        <v>368</v>
      </c>
      <c r="AT20" s="24"/>
      <c r="AU20" s="24"/>
    </row>
    <row r="21" spans="1:57" ht="14.4" thickBot="1" x14ac:dyDescent="0.35">
      <c r="A21" s="49" t="s">
        <v>13</v>
      </c>
      <c r="B21" s="54">
        <f>IF(BARVA=12,CEILING((Titulní!$B$11-46)/26.5,1),
IF(BARVA=13,CEILING((Titulní!$B$11-46)/60,1),CEILING((Titulní!$B$11-46)/45,1)))</f>
        <v>0</v>
      </c>
      <c r="C21" s="54">
        <f>FLOOR(2500/(Titulní!$B$9-36+14+5),1)</f>
        <v>131</v>
      </c>
      <c r="D21" s="56">
        <f>CEILING(B21/C21,1)</f>
        <v>0</v>
      </c>
      <c r="E21" s="50"/>
      <c r="F21" s="50">
        <f>2*(Titulní!$B$11+(Titulní!$B$11-Titulní!$B$13)+Titulní!$B$13)</f>
        <v>144</v>
      </c>
      <c r="G21" s="56">
        <f t="shared" si="4"/>
        <v>1</v>
      </c>
      <c r="H21" s="50"/>
      <c r="I21" s="56">
        <f>CEILING(Titulní!$B$9/1000,0.1)</f>
        <v>0.1</v>
      </c>
      <c r="J21" s="50"/>
      <c r="K21" s="56">
        <f>CEILING(Titulní!$B$9/1000,0.1)</f>
        <v>0.1</v>
      </c>
      <c r="L21" s="50"/>
      <c r="M21" s="54">
        <f>IF(Y4=17,CEILING((Titulní!$B$11-52)/25,1),
IF(Y4=18,CEILING((Titulní!$B$11-52)/25,1),CEILING((Titulní!$B$11-52)/20,1)))</f>
        <v>0</v>
      </c>
      <c r="N21" s="54">
        <f>FLOOR(2500/(Titulní!$B$9-36+11+5),1)</f>
        <v>156</v>
      </c>
      <c r="O21" s="56">
        <f>CEILING(M21/N21,1)</f>
        <v>0</v>
      </c>
      <c r="P21" s="56"/>
      <c r="R21" s="255"/>
      <c r="S21" s="257" t="s">
        <v>105</v>
      </c>
      <c r="T21" s="205"/>
      <c r="U21" s="205"/>
      <c r="V21" s="205"/>
      <c r="W21" s="205"/>
      <c r="X21" s="205"/>
      <c r="Y21" s="254"/>
      <c r="Z21">
        <v>25.5</v>
      </c>
      <c r="AA21" s="90" t="s">
        <v>458</v>
      </c>
      <c r="AB21" s="179" t="str">
        <f t="shared" si="1"/>
        <v>Ślizgacz 8 mm jas.brąz.(buk)</v>
      </c>
      <c r="AC21" s="91">
        <f t="shared" si="2"/>
        <v>8.5023300000000006</v>
      </c>
      <c r="AD21" s="91">
        <f t="shared" si="3"/>
        <v>8.5023300000000006</v>
      </c>
      <c r="AE21" s="191" t="s">
        <v>144</v>
      </c>
      <c r="AF21" s="194"/>
      <c r="AG21" s="194"/>
      <c r="AH21" s="194"/>
      <c r="AI21" s="194"/>
      <c r="AJ21" s="194"/>
      <c r="AK21" s="194"/>
      <c r="AL21" s="187"/>
      <c r="AM21" s="187"/>
      <c r="AO21" s="414" t="s">
        <v>358</v>
      </c>
      <c r="AP21" s="616"/>
      <c r="AQ21" s="44" t="s">
        <v>357</v>
      </c>
      <c r="AR21" s="43" t="s">
        <v>360</v>
      </c>
      <c r="AS21" s="44" t="s">
        <v>359</v>
      </c>
      <c r="AT21" s="414" t="s">
        <v>361</v>
      </c>
      <c r="AU21" s="422"/>
      <c r="AV21" s="44" t="s">
        <v>362</v>
      </c>
      <c r="AW21" s="40"/>
      <c r="AX21" s="109" t="s">
        <v>370</v>
      </c>
      <c r="AY21" s="17" t="s">
        <v>364</v>
      </c>
      <c r="AZ21" s="17" t="s">
        <v>365</v>
      </c>
      <c r="BA21" t="s">
        <v>366</v>
      </c>
    </row>
    <row r="22" spans="1:57" ht="12.75" customHeight="1" thickBot="1" x14ac:dyDescent="0.35">
      <c r="A22" s="49" t="s">
        <v>14</v>
      </c>
      <c r="B22" s="54">
        <f>IF(BARVA=12,CEILING((Titulní!$B$11-46)/26.5,1),CEILING((Titulní!$B$11-46)/45,1))</f>
        <v>0</v>
      </c>
      <c r="C22" s="54">
        <f>FLOOR(2500/(Titulní!$B$9-36-9+5),1)</f>
        <v>-625</v>
      </c>
      <c r="D22" s="56">
        <f>CEILING(B22/C22,1)</f>
        <v>0</v>
      </c>
      <c r="E22" s="50"/>
      <c r="F22" s="50">
        <f>2*((Titulní!$B$11-Titulní!$B$13)+Titulní!$B$13)</f>
        <v>72</v>
      </c>
      <c r="G22" s="56">
        <f t="shared" si="4"/>
        <v>1</v>
      </c>
      <c r="H22" s="50"/>
      <c r="I22" s="56">
        <f>CEILING(Titulní!$B$9/1000,0.1)</f>
        <v>0.1</v>
      </c>
      <c r="J22" s="50"/>
      <c r="K22" s="56">
        <f>CEILING(Titulní!$B$9/1000,0.1)</f>
        <v>0.1</v>
      </c>
      <c r="L22" s="50"/>
      <c r="M22" s="54">
        <f>IF(Y4=17,CEILING((Titulní!$B$11-52)/25,1),
IF(Y4=18,CEILING((Titulní!$B$11-52)/25,1),CEILING((Titulní!$B$11-52)/20,1)))</f>
        <v>0</v>
      </c>
      <c r="N22" s="54">
        <f>FLOOR(2500/(Titulní!$B$9-36-12+5),1)</f>
        <v>-358</v>
      </c>
      <c r="O22" s="56">
        <f>CEILING(M22/N22,1)</f>
        <v>0</v>
      </c>
      <c r="P22" s="56"/>
      <c r="R22" s="255"/>
      <c r="S22" s="258" t="str">
        <f>IF(BARVA=1,výpočty!W3,
IF(BARVA=2,výpočty!W4,
IF(BARVA=3,výpočty!W5,
IF(BARVA=4,výpočty!W6,
IF(BARVA=5,výpočty!W7,
IF(BARVA=6,výpočty!W8,
IF(BARVA=7,výpočty!W9,
IF(BARVA=8,výpočty!W10,0))))))))</f>
        <v>Czarny (E23)</v>
      </c>
      <c r="T22" s="205"/>
      <c r="U22" s="205"/>
      <c r="V22" s="205"/>
      <c r="W22" s="205" t="str">
        <f>Překlady!A87</f>
        <v>Tak</v>
      </c>
      <c r="X22" s="323">
        <v>1</v>
      </c>
      <c r="Y22" s="318" t="s">
        <v>1933</v>
      </c>
      <c r="Z22">
        <v>25.5</v>
      </c>
      <c r="AA22" s="90" t="s">
        <v>459</v>
      </c>
      <c r="AB22" s="179" t="str">
        <f t="shared" si="1"/>
        <v>Ślizgacz 8 mm szary</v>
      </c>
      <c r="AC22" s="91">
        <f t="shared" si="2"/>
        <v>8.5023300000000006</v>
      </c>
      <c r="AD22" s="91">
        <f t="shared" si="3"/>
        <v>8.5023300000000006</v>
      </c>
      <c r="AE22" s="191" t="s">
        <v>145</v>
      </c>
      <c r="AF22" s="194"/>
      <c r="AG22" s="194"/>
      <c r="AH22" s="194"/>
      <c r="AI22" s="194"/>
      <c r="AJ22" s="194"/>
      <c r="AK22" s="194"/>
      <c r="AL22" s="187"/>
      <c r="AM22" s="187"/>
      <c r="AO22" t="str">
        <f>IF(výpočty!$AY$22=0,AZ23,AZ22)</f>
        <v>Listwa maskująca uni czarna</v>
      </c>
      <c r="AQ22" t="str">
        <f>IF(výpočty!$AY$22=0,AY23,AY22)</f>
        <v>R95793</v>
      </c>
      <c r="AR22" s="95">
        <f>OBJ_KUSY*I8</f>
        <v>0</v>
      </c>
      <c r="AS22" t="s">
        <v>124</v>
      </c>
      <c r="AT22">
        <f>IF(výpočty!$AY$22=0,BA23,BA22)</f>
        <v>45.669879999999999</v>
      </c>
      <c r="AV22" s="95">
        <f>AR22*AT22</f>
        <v>0</v>
      </c>
      <c r="AY22" s="335" t="str">
        <f>IF(BARVA=1,výpočty!AA46,
IF(BARVA=2,výpočty!AA42,
IF(BARVA=3,výpočty!AA50,
IF(BARVA=4,výpočty!AA47,
IF(BARVA=5,výpočty!AA44,
IF(BARVA=6,výpočty!AA52,
IF(BARVA=7,výpočty!AA48,
IF(BARVA=8,výpočty!AA43,
IF(BARVA=12,AA208,
IF(BARVA=13,AA47,0))))))))))</f>
        <v>R95793</v>
      </c>
      <c r="AZ22" s="26" t="str">
        <f>IF(BARVA=1,výpočty!AB46,
IF(BARVA=2,výpočty!AB42,
IF(BARVA=3,výpočty!AB50,
IF(BARVA=4,výpočty!AB47,
IF(BARVA=5,výpočty!AB44,
IF(BARVA=6,výpočty!AB52,
IF(BARVA=7,výpočty!AB48,
IF(BARVA=8,výpočty!AB43,
IF(BARVA=12,AB208,
IF(BARVA=13,AB47,0))))))))))</f>
        <v>Listwa maskująca uni czarna</v>
      </c>
      <c r="BA22" s="26">
        <f>IF(BARVA=1,výpočty!AC46,
IF(BARVA=2,výpočty!AC42,
IF(BARVA=3,výpočty!AC50,
IF(BARVA=4,výpočty!AC47,
IF(BARVA=5,výpočty!AC44,
IF(BARVA=6,výpočty!AC52,
IF(BARVA=7,výpočty!AC48,
IF(BARVA=8,výpočty!AC43,
IF(BARVA=12,AC208,
IF(BARVA=13,AC47,0))))))))))</f>
        <v>45.669879999999999</v>
      </c>
    </row>
    <row r="23" spans="1:57" ht="14.4" thickBot="1" x14ac:dyDescent="0.35">
      <c r="A23" s="49"/>
      <c r="B23" s="54"/>
      <c r="C23" s="54"/>
      <c r="D23" s="56"/>
      <c r="E23" s="50" t="s">
        <v>36</v>
      </c>
      <c r="F23" s="50">
        <f>2*Titulní!$B$11</f>
        <v>72</v>
      </c>
      <c r="G23" s="56">
        <f t="shared" si="4"/>
        <v>1</v>
      </c>
      <c r="H23" s="50"/>
      <c r="I23" s="56"/>
      <c r="J23" s="50"/>
      <c r="K23" s="56"/>
      <c r="L23" s="50"/>
      <c r="M23" s="54"/>
      <c r="N23" s="54"/>
      <c r="O23" s="56"/>
      <c r="P23" s="56"/>
      <c r="R23" s="259"/>
      <c r="S23" s="260">
        <f>IF(BARVA=9,výpočty!W11,IF(BARVA=10,výpočty!W12,IF(BARVA=11,výpočty!W13,IF(BARVA=15,výpočty!W17,výpočty!W18))))</f>
        <v>0</v>
      </c>
      <c r="T23" s="261"/>
      <c r="U23" s="261"/>
      <c r="V23" s="261"/>
      <c r="W23" s="261" t="str">
        <f>Překlady!A88</f>
        <v>Nie</v>
      </c>
      <c r="X23" s="261"/>
      <c r="Y23" s="354"/>
      <c r="Z23">
        <v>665</v>
      </c>
      <c r="AA23" s="90" t="s">
        <v>460</v>
      </c>
      <c r="AB23" s="179" t="str">
        <f t="shared" si="1"/>
        <v>Listwa końcowa ALU kombi ALU 230L</v>
      </c>
      <c r="AC23" s="91">
        <f t="shared" si="2"/>
        <v>165.55967000000001</v>
      </c>
      <c r="AD23" s="91">
        <f t="shared" si="3"/>
        <v>165.55967000000001</v>
      </c>
      <c r="AE23" s="191" t="s">
        <v>146</v>
      </c>
      <c r="AF23" s="194">
        <f>Odečty!B4</f>
        <v>-14</v>
      </c>
      <c r="AG23" s="194">
        <f>Odečty!C4</f>
        <v>10</v>
      </c>
      <c r="AH23" s="194">
        <f>Odečty!D4</f>
        <v>-13</v>
      </c>
      <c r="AI23" s="194" t="str">
        <f>Odečty!E4</f>
        <v>-13</v>
      </c>
      <c r="AJ23" s="194">
        <f>Odečty!F4</f>
        <v>-15</v>
      </c>
      <c r="AK23" s="194">
        <v>1</v>
      </c>
      <c r="AL23" s="187"/>
      <c r="AM23" s="187"/>
      <c r="AR23" s="50">
        <f>OBJ_KUSY*I20</f>
        <v>0</v>
      </c>
      <c r="AV23" s="50">
        <f>AR23*AT22</f>
        <v>0</v>
      </c>
      <c r="AY23" s="27" t="str">
        <f>IF(BARVA=9,výpočty!AA51,
IF(BARVA=10,výpočty!AA45,
IF(BARVA=11," ",
IF(BARVA=15,výpočty!AA40,výpočty!AA232))))</f>
        <v>R00066</v>
      </c>
      <c r="AZ23" s="27" t="str">
        <f>IF(BARVA=9,výpočty!AB51,
IF(BARVA=10,výpočty!AB45,
IF(BARVA=15,výpočty!AB40,výpočty!AB232)))</f>
        <v>Listwa maskująca (profil L) nierdz 360</v>
      </c>
      <c r="BA23" s="27">
        <f>IF(BARVA=9,výpočty!AC51,IF(BARVA=10,výpočty!AC45,IF(BARVA=11," ",IF(BARVA=15,výpočty!AC40,výpočty!AC232))))</f>
        <v>156.99848</v>
      </c>
    </row>
    <row r="24" spans="1:57" x14ac:dyDescent="0.25">
      <c r="A24" s="49"/>
      <c r="B24" s="54"/>
      <c r="C24" s="54"/>
      <c r="D24" s="56"/>
      <c r="E24" s="50" t="s">
        <v>25</v>
      </c>
      <c r="F24" s="50">
        <f>2*Titulní!$B$11</f>
        <v>72</v>
      </c>
      <c r="G24" s="56">
        <f>CEILING(F24/1000,0.5)</f>
        <v>0.5</v>
      </c>
      <c r="H24" s="50" t="s">
        <v>124</v>
      </c>
      <c r="I24" s="56"/>
      <c r="J24" s="50"/>
      <c r="K24" s="56"/>
      <c r="L24" s="50"/>
      <c r="M24" s="54"/>
      <c r="N24" s="54"/>
      <c r="O24" s="56"/>
      <c r="P24" s="56"/>
      <c r="Z24">
        <v>555</v>
      </c>
      <c r="AA24" s="90" t="s">
        <v>461</v>
      </c>
      <c r="AB24" s="179" t="str">
        <f t="shared" si="1"/>
        <v>Listwa końcowa ALU 27mm ALU 230L</v>
      </c>
      <c r="AC24" s="91">
        <f t="shared" si="2"/>
        <v>151.92384000000001</v>
      </c>
      <c r="AD24" s="91">
        <f t="shared" si="3"/>
        <v>151.92384000000001</v>
      </c>
      <c r="AE24" s="191" t="s">
        <v>147</v>
      </c>
      <c r="AF24" s="194">
        <f>Odečty!B6</f>
        <v>-13</v>
      </c>
      <c r="AG24" s="194">
        <f>Odečty!C6</f>
        <v>10</v>
      </c>
      <c r="AH24" s="194">
        <f>Odečty!D6</f>
        <v>-13</v>
      </c>
      <c r="AI24" s="194">
        <f>Odečty!E6</f>
        <v>-13</v>
      </c>
      <c r="AJ24" s="194">
        <f>Odečty!F6</f>
        <v>-15</v>
      </c>
      <c r="AK24" s="194">
        <v>1</v>
      </c>
      <c r="AL24" s="187"/>
      <c r="AM24" s="187"/>
      <c r="AN24" s="110" t="s">
        <v>4</v>
      </c>
      <c r="AO24" s="110" t="str">
        <f>IF(BARVA=15,AB39,
IF(BARVA=16,AB41,
IF(výpočty!AY24=0,Překlady!$A$84,AB49)))</f>
        <v>Listwa maskująca z uskokiem ALU-dolna cz</v>
      </c>
      <c r="AP24" s="110"/>
      <c r="AQ24" s="110" t="str">
        <f>IF(BARVA=15,AA39,
IF(BARVA=16,AA41,
IF(výpočty!AY24=0," ",AA49)))</f>
        <v>R95820</v>
      </c>
      <c r="AR24" s="110">
        <f>IF(SMER=1,OBJ_KUSY*I8,OBJ_KUSY*I20)</f>
        <v>0</v>
      </c>
      <c r="AS24" s="110" t="s">
        <v>124</v>
      </c>
      <c r="AT24" s="110">
        <f>IF(BARVA=15,AC39,
IF(BARVA=16,AC41,
IF(výpočty!AY24=0,0,AC49)))</f>
        <v>98.007369999999995</v>
      </c>
      <c r="AU24" s="110"/>
      <c r="AV24" s="110">
        <f>AT24*AR24</f>
        <v>0</v>
      </c>
      <c r="AW24" s="110"/>
      <c r="AX24" s="110"/>
      <c r="AY24" s="112" t="str">
        <f>IF(BARVA=1,výpočty!AA84,
IF(BARVA=2,výpočty!AA86,
IF(BARVA=3,výpočty!AA85,
IF(BARVA=4,výpočty!AA88,
IF(BARVA=5,výpočty!AA87,
IF(BARVA=6,výpočty!AA89,
IF(BARVA=7,výpočty!AA82,
IF(BARVA=8,výpočty!AA83,0))))))))</f>
        <v>R96080</v>
      </c>
      <c r="AZ24" s="112" t="str">
        <f>IF(BARVA=1,výpočty!AB84,IF(BARVA=2,výpočty!AB86,IF(BARVA=3,výpočty!AB85,IF(BARVA=4,výpočty!AB88,IF(BARVA=5,výpočty!AB87,IF(BARVA=6,výpočty!AB89,IF(BARVA=7,výpočty!AB82,IF(BARVA=8,výpočty!AB83,0))))))))</f>
        <v>Osłona listwy mask. z uskokiem-uni czarn</v>
      </c>
      <c r="BA24" s="112">
        <f>IF(BARVA=1,výpočty!AC84,IF(BARVA=2,výpočty!AC86,IF(BARVA=3,výpočty!AC85,IF(BARVA=4,výpočty!AC88,IF(BARVA=5,výpočty!AC87,IF(BARVA=6,výpočty!AC89,IF(BARVA=7,výpočty!AC82,IF(BARVA=8,výpočty!AC83,0))))))))</f>
        <v>27.027149999999999</v>
      </c>
      <c r="BB24" s="110"/>
    </row>
    <row r="25" spans="1:57" ht="13.8" thickBot="1" x14ac:dyDescent="0.3">
      <c r="A25" s="49" t="s">
        <v>15</v>
      </c>
      <c r="B25" s="54">
        <f>CEILING((Titulní!$B$11-26)/45,1)</f>
        <v>1</v>
      </c>
      <c r="C25" s="54">
        <f>FLOOR(2500/(Titulní!$B$9-36-9+5),1)</f>
        <v>-625</v>
      </c>
      <c r="D25" s="57">
        <f>CEILING(B25/C25,1)</f>
        <v>0</v>
      </c>
      <c r="E25" s="50"/>
      <c r="F25" s="50">
        <f>2*((Titulní!$B$11-Titulní!$B$13)+Titulní!$B$13)</f>
        <v>72</v>
      </c>
      <c r="G25" s="56">
        <f t="shared" si="4"/>
        <v>1</v>
      </c>
      <c r="H25" s="50"/>
      <c r="I25" s="57">
        <f>CEILING(Titulní!$B$9/1000,0.1)</f>
        <v>0.1</v>
      </c>
      <c r="J25" s="50"/>
      <c r="K25" s="57">
        <f>CEILING(Titulní!$B$9/1000,0.1)</f>
        <v>0.1</v>
      </c>
      <c r="L25" s="50"/>
      <c r="M25" s="54">
        <f>IF(Y4=17,CEILING((Titulní!$B$11-35)/25,1),
IF(Y4=18,CEILING((Titulní!$B$11-35)/25,1),CEILING((Titulní!$B$11-35)/20,1)))</f>
        <v>1</v>
      </c>
      <c r="N25" s="54">
        <f>FLOOR(2500/(Titulní!$B$9-36-12+5),1)</f>
        <v>-358</v>
      </c>
      <c r="O25" s="57">
        <f>CEILING(M25/N25,1)</f>
        <v>0</v>
      </c>
      <c r="P25" s="57"/>
      <c r="Z25">
        <v>665</v>
      </c>
      <c r="AA25" s="90" t="s">
        <v>462</v>
      </c>
      <c r="AB25" s="179" t="str">
        <f t="shared" si="1"/>
        <v>Listwa końcowa ALU Kombi nierdz 360L</v>
      </c>
      <c r="AC25" s="91">
        <f t="shared" si="2"/>
        <v>224.55905000000001</v>
      </c>
      <c r="AD25" s="91">
        <f t="shared" si="3"/>
        <v>224.55905000000001</v>
      </c>
      <c r="AE25" s="191" t="s">
        <v>148</v>
      </c>
      <c r="AF25" s="194">
        <f>Odečty!B4</f>
        <v>-14</v>
      </c>
      <c r="AG25" s="194">
        <f>Odečty!C4</f>
        <v>10</v>
      </c>
      <c r="AH25" s="194">
        <f>Odečty!D4</f>
        <v>-13</v>
      </c>
      <c r="AI25" s="194" t="str">
        <f>Odečty!E4</f>
        <v>-13</v>
      </c>
      <c r="AJ25" s="194">
        <f>Odečty!F4</f>
        <v>-15</v>
      </c>
      <c r="AK25" s="194">
        <v>1</v>
      </c>
      <c r="AL25" s="187"/>
      <c r="AM25" s="187"/>
      <c r="AN25" s="110"/>
      <c r="AO25" s="110" t="str">
        <f>IF(výpočty!$AZ$13=0," ",AZ24)</f>
        <v>Osłona listwy mask. z uskokiem-uni czarn</v>
      </c>
      <c r="AP25" s="110"/>
      <c r="AQ25" s="110" t="str">
        <f>IF(výpočty!$S$22=0,AY25,AY24)</f>
        <v>R96080</v>
      </c>
      <c r="AR25" s="110">
        <f>IF(výpočty!$AZ$13=0," ",IF(SMER=1,OBJ_KUSY*I8,OBJ_KUSY*I20))</f>
        <v>0</v>
      </c>
      <c r="AS25" s="110" t="str">
        <f>IF(výpočty!$AZ$13=0," ","bm")</f>
        <v>bm</v>
      </c>
      <c r="AT25" s="110">
        <f>IF(výpočty!$AZ$13=0," ",IF(výpočty!$S$22=0,BA25,BA24))</f>
        <v>27.027149999999999</v>
      </c>
      <c r="AU25" s="110"/>
      <c r="AV25" s="110">
        <f>IF(výpočty!$AZ$13=0," ",AT25*AR25)</f>
        <v>0</v>
      </c>
      <c r="AW25" s="110"/>
      <c r="AX25" s="110"/>
      <c r="AY25" s="113" t="str">
        <f>IF(BARVA=9," ",IF(BARVA=10," ",IF(BARVA=11," "," ")))</f>
        <v xml:space="preserve"> </v>
      </c>
      <c r="AZ25" s="113" t="str">
        <f>IF(BARVA=9," ",IF(BARVA=10," ",IF(BARVA=11," "," ")))</f>
        <v xml:space="preserve"> </v>
      </c>
      <c r="BA25" s="113" t="str">
        <f>IF(BARVA=9," ",IF(BARVA=10," ",IF(BARVA=11," "," ")))</f>
        <v xml:space="preserve"> </v>
      </c>
      <c r="BB25" s="110"/>
    </row>
    <row r="26" spans="1:57" ht="13.8" thickBot="1" x14ac:dyDescent="0.3">
      <c r="A26" s="49"/>
      <c r="B26" s="50"/>
      <c r="C26" s="50"/>
      <c r="D26" s="50"/>
      <c r="E26" s="50" t="s">
        <v>36</v>
      </c>
      <c r="F26" s="50">
        <f>2*(Titulní!$B$11)</f>
        <v>72</v>
      </c>
      <c r="G26" s="57">
        <f t="shared" si="4"/>
        <v>1</v>
      </c>
      <c r="H26" s="50"/>
      <c r="I26" s="50"/>
      <c r="J26" s="50"/>
      <c r="K26" s="50"/>
      <c r="L26" s="50"/>
      <c r="M26" s="50" t="s">
        <v>35</v>
      </c>
      <c r="N26" s="51">
        <f>CEILING(Titulní!$B$9/1000,0.1)</f>
        <v>0.1</v>
      </c>
      <c r="O26" s="53"/>
      <c r="P26" s="53"/>
      <c r="Q26">
        <v>1</v>
      </c>
      <c r="R26" s="134" t="s">
        <v>395</v>
      </c>
      <c r="S26" s="23">
        <v>1</v>
      </c>
      <c r="Z26">
        <v>208</v>
      </c>
      <c r="AA26" s="90" t="s">
        <v>463</v>
      </c>
      <c r="AB26" s="179" t="str">
        <f t="shared" si="1"/>
        <v>Listwa końcowa biała</v>
      </c>
      <c r="AC26" s="91">
        <f t="shared" si="2"/>
        <v>69.139859999999999</v>
      </c>
      <c r="AD26" s="91">
        <f t="shared" si="3"/>
        <v>69.139859999999999</v>
      </c>
      <c r="AE26" s="191" t="s">
        <v>149</v>
      </c>
      <c r="AF26" s="194">
        <f>Odečty!B3</f>
        <v>-30</v>
      </c>
      <c r="AG26" s="194">
        <f>Odečty!C3</f>
        <v>-6</v>
      </c>
      <c r="AH26" s="194">
        <f>Odečty!D3</f>
        <v>-29</v>
      </c>
      <c r="AI26" s="194">
        <f>Odečty!E3</f>
        <v>-29</v>
      </c>
      <c r="AJ26" s="194">
        <f>Odečty!F3</f>
        <v>-32</v>
      </c>
      <c r="AK26" s="194">
        <v>1</v>
      </c>
      <c r="AL26" s="187"/>
      <c r="AM26" s="187"/>
      <c r="AN26" t="s">
        <v>424</v>
      </c>
      <c r="AO26" t="str">
        <f>AZ27</f>
        <v>0</v>
      </c>
      <c r="AQ26" t="str">
        <f>AY27</f>
        <v>0</v>
      </c>
      <c r="AR26">
        <f>IF(SMER=1,OBJ_KUSY*I8,OBJ_KUSY*I20)</f>
        <v>0</v>
      </c>
      <c r="AS26" t="s">
        <v>124</v>
      </c>
      <c r="AT26" t="str">
        <f>BA27</f>
        <v>0</v>
      </c>
      <c r="AV26">
        <f>AR26*AT26</f>
        <v>0</v>
      </c>
      <c r="AY26" s="26"/>
      <c r="AZ26" s="26"/>
      <c r="BA26" s="26"/>
    </row>
    <row r="27" spans="1:57" ht="13.8" thickBot="1" x14ac:dyDescent="0.3">
      <c r="A27" s="49"/>
      <c r="B27" s="50"/>
      <c r="C27" s="50"/>
      <c r="D27" s="50"/>
      <c r="E27" s="50" t="s">
        <v>25</v>
      </c>
      <c r="F27" s="50">
        <f>2*(Titulní!$B$11)</f>
        <v>72</v>
      </c>
      <c r="G27" s="56">
        <f>CEILING(F27/1000,0.5)</f>
        <v>0.5</v>
      </c>
      <c r="H27" s="50" t="s">
        <v>124</v>
      </c>
      <c r="I27" s="50"/>
      <c r="J27" s="50"/>
      <c r="K27" s="50"/>
      <c r="L27" s="50"/>
      <c r="M27" s="50"/>
      <c r="N27" s="50"/>
      <c r="O27" s="53"/>
      <c r="P27" s="53"/>
      <c r="R27" s="135" t="s">
        <v>396</v>
      </c>
      <c r="S27" s="23"/>
      <c r="Z27">
        <v>245</v>
      </c>
      <c r="AA27" s="90" t="s">
        <v>464</v>
      </c>
      <c r="AB27" s="179" t="str">
        <f t="shared" si="1"/>
        <v>Listwa końcowa brzoza</v>
      </c>
      <c r="AC27" s="91">
        <f t="shared" si="2"/>
        <v>80.561509999999998</v>
      </c>
      <c r="AD27" s="91">
        <f t="shared" si="3"/>
        <v>80.561509999999998</v>
      </c>
      <c r="AE27" s="191" t="s">
        <v>150</v>
      </c>
      <c r="AF27" s="194">
        <f>Odečty!B3</f>
        <v>-30</v>
      </c>
      <c r="AG27" s="194">
        <f>Odečty!C3</f>
        <v>-6</v>
      </c>
      <c r="AH27" s="194">
        <f>Odečty!D3</f>
        <v>-29</v>
      </c>
      <c r="AI27" s="194">
        <f>Odečty!E3</f>
        <v>-29</v>
      </c>
      <c r="AJ27" s="194">
        <f>Odečty!F3</f>
        <v>-32</v>
      </c>
      <c r="AK27" s="194">
        <v>1</v>
      </c>
      <c r="AL27" s="187"/>
      <c r="AM27" s="187"/>
      <c r="AY27" s="27" t="str">
        <f>IF(BARVA&lt;12,"0",IF(BARVA=15,výpočty!AA39,výpočty!AA41))</f>
        <v>0</v>
      </c>
      <c r="AZ27" s="27" t="str">
        <f>IF(BARVA&lt;12,"0",IF(BARVA=15,výpočty!AB39,výpočty!AB41))</f>
        <v>0</v>
      </c>
      <c r="BA27" s="27" t="str">
        <f>IF(BARVA&lt;12,"0",IF(BARVA=15,výpočty!AC39,výpočty!AC41))</f>
        <v>0</v>
      </c>
    </row>
    <row r="28" spans="1:57" ht="13.8" thickBot="1" x14ac:dyDescent="0.3">
      <c r="A28" s="49" t="s">
        <v>380</v>
      </c>
      <c r="B28" s="50"/>
      <c r="C28" s="50"/>
      <c r="D28" s="50"/>
      <c r="E28" s="50"/>
      <c r="F28" s="50">
        <f>2*(Titulní!$B$11)</f>
        <v>72</v>
      </c>
      <c r="G28" s="56">
        <f>CEILING(F28/1000,0.5)</f>
        <v>0.5</v>
      </c>
      <c r="H28" s="50"/>
      <c r="I28" s="50"/>
      <c r="J28" s="50"/>
      <c r="K28" s="50"/>
      <c r="L28" s="50"/>
      <c r="M28" s="50"/>
      <c r="N28" s="50"/>
      <c r="O28" s="53"/>
      <c r="P28" s="53"/>
      <c r="Q28">
        <v>2</v>
      </c>
      <c r="R28" s="134" t="s">
        <v>395</v>
      </c>
      <c r="S28" s="23">
        <v>1</v>
      </c>
      <c r="Z28">
        <v>245</v>
      </c>
      <c r="AA28" s="90" t="s">
        <v>465</v>
      </c>
      <c r="AB28" s="179" t="str">
        <f t="shared" si="1"/>
        <v>Listwa końcowa buk</v>
      </c>
      <c r="AC28" s="91">
        <f t="shared" si="2"/>
        <v>80.561509999999998</v>
      </c>
      <c r="AD28" s="91">
        <f t="shared" si="3"/>
        <v>80.561509999999998</v>
      </c>
      <c r="AE28" s="191" t="s">
        <v>151</v>
      </c>
      <c r="AF28" s="194">
        <f>Odečty!B3</f>
        <v>-30</v>
      </c>
      <c r="AG28" s="194">
        <f>Odečty!C3</f>
        <v>-6</v>
      </c>
      <c r="AH28" s="194">
        <f>Odečty!D3</f>
        <v>-29</v>
      </c>
      <c r="AI28" s="194">
        <f>Odečty!E3</f>
        <v>-29</v>
      </c>
      <c r="AJ28" s="194">
        <f>Odečty!F3</f>
        <v>-32</v>
      </c>
      <c r="AK28" s="194">
        <v>1</v>
      </c>
      <c r="AL28" s="187"/>
      <c r="AM28" s="187"/>
      <c r="AO28" s="114" t="s">
        <v>375</v>
      </c>
      <c r="AP28" s="114"/>
      <c r="AT28" s="24"/>
      <c r="AU28" s="24"/>
    </row>
    <row r="29" spans="1:57" ht="13.8" thickBot="1" x14ac:dyDescent="0.3">
      <c r="A29" s="58"/>
      <c r="B29" s="59"/>
      <c r="C29" s="59"/>
      <c r="D29" s="59"/>
      <c r="E29" s="59"/>
      <c r="F29" s="50"/>
      <c r="G29" s="55"/>
      <c r="H29" s="59"/>
      <c r="I29" s="55"/>
      <c r="J29" s="59"/>
      <c r="K29" s="55"/>
      <c r="L29" s="59"/>
      <c r="M29" s="59"/>
      <c r="N29" s="59"/>
      <c r="O29" s="60"/>
      <c r="P29" s="60"/>
      <c r="R29" s="135" t="s">
        <v>396</v>
      </c>
      <c r="S29" s="23"/>
      <c r="Z29">
        <v>245</v>
      </c>
      <c r="AA29" s="90" t="s">
        <v>466</v>
      </c>
      <c r="AB29" s="179" t="str">
        <f t="shared" si="1"/>
        <v>Listwa końcowa calvados</v>
      </c>
      <c r="AC29" s="91">
        <f t="shared" si="2"/>
        <v>63.75076</v>
      </c>
      <c r="AD29" s="91">
        <f t="shared" si="3"/>
        <v>63.75076</v>
      </c>
      <c r="AE29" s="191" t="s">
        <v>152</v>
      </c>
      <c r="AF29" s="194">
        <f>Odečty!B3</f>
        <v>-30</v>
      </c>
      <c r="AG29" s="194">
        <f>Odečty!C3</f>
        <v>-6</v>
      </c>
      <c r="AH29" s="194">
        <f>Odečty!D3</f>
        <v>-29</v>
      </c>
      <c r="AI29" s="194">
        <f>Odečty!E3</f>
        <v>-29</v>
      </c>
      <c r="AJ29" s="194">
        <f>Odečty!F3</f>
        <v>-32</v>
      </c>
      <c r="AK29" s="194">
        <v>1</v>
      </c>
      <c r="AL29" s="187"/>
      <c r="AM29" s="187"/>
      <c r="AO29" s="414" t="s">
        <v>358</v>
      </c>
      <c r="AP29" s="616"/>
      <c r="AQ29" s="44" t="s">
        <v>357</v>
      </c>
      <c r="AR29" s="43" t="s">
        <v>360</v>
      </c>
      <c r="AS29" s="44" t="s">
        <v>359</v>
      </c>
      <c r="AT29" s="414" t="s">
        <v>361</v>
      </c>
      <c r="AU29" s="422"/>
      <c r="AV29" s="44" t="s">
        <v>362</v>
      </c>
      <c r="AW29" s="40"/>
      <c r="AY29" s="17" t="s">
        <v>364</v>
      </c>
      <c r="AZ29" s="17" t="s">
        <v>365</v>
      </c>
      <c r="BA29" t="s">
        <v>366</v>
      </c>
      <c r="BC29" s="17" t="s">
        <v>364</v>
      </c>
      <c r="BD29" s="17" t="s">
        <v>365</v>
      </c>
      <c r="BE29" t="s">
        <v>366</v>
      </c>
    </row>
    <row r="30" spans="1:57" ht="13.8" thickBot="1" x14ac:dyDescent="0.3">
      <c r="Q30">
        <v>3</v>
      </c>
      <c r="R30" s="134" t="s">
        <v>395</v>
      </c>
      <c r="S30" s="23">
        <v>1</v>
      </c>
      <c r="Z30">
        <v>208</v>
      </c>
      <c r="AA30" s="90" t="s">
        <v>467</v>
      </c>
      <c r="AB30" s="179" t="str">
        <f t="shared" si="1"/>
        <v>Listwa końcowa czarna</v>
      </c>
      <c r="AC30" s="91">
        <f t="shared" si="2"/>
        <v>69.139859999999999</v>
      </c>
      <c r="AD30" s="91">
        <f t="shared" si="3"/>
        <v>69.139859999999999</v>
      </c>
      <c r="AE30" s="191" t="s">
        <v>153</v>
      </c>
      <c r="AF30" s="194">
        <f>Odečty!B3</f>
        <v>-30</v>
      </c>
      <c r="AG30" s="194">
        <f>Odečty!C3</f>
        <v>-6</v>
      </c>
      <c r="AH30" s="194">
        <f>Odečty!D3</f>
        <v>-29</v>
      </c>
      <c r="AI30" s="194">
        <f>Odečty!E3</f>
        <v>-29</v>
      </c>
      <c r="AJ30" s="194">
        <f>Odečty!F3</f>
        <v>-32</v>
      </c>
      <c r="AK30" s="194">
        <v>1</v>
      </c>
      <c r="AL30" s="187"/>
      <c r="AM30" s="187"/>
      <c r="AN30" t="s">
        <v>378</v>
      </c>
      <c r="AO30" t="str">
        <f>IF(výpočty!$AY$30=0,AZ31,AZ30)</f>
        <v>Listwa tor. na wkręt czarna</v>
      </c>
      <c r="AQ30" t="str">
        <f>IF(výpočty!$AY$30=0,AY31,AY30)</f>
        <v>R92823</v>
      </c>
      <c r="AR30">
        <f>IF(SMER=1,OBJ_KUSY*G8*2.5,OBJ_KUSY*G20*2.5)</f>
        <v>0</v>
      </c>
      <c r="AS30" t="s">
        <v>124</v>
      </c>
      <c r="AT30">
        <f>IF(výpočty!$S$22=0,BA31,BA30)</f>
        <v>20.510159999999999</v>
      </c>
      <c r="AV30">
        <f>AT30*AR30</f>
        <v>0</v>
      </c>
      <c r="AX30" s="31" t="s">
        <v>376</v>
      </c>
      <c r="AY30" s="116" t="str">
        <f>IF(BARVA=1,výpočty!AA161,
IF(BARVA=2,výpočty!AA159,
IF(BARVA=3,výpočty!AA170,
IF(BARVA=4,výpočty!AA157,
IF(BARVA=5,výpočty!AA164,
IF(BARVA=6,výpočty!AA168,
IF(BARVA=7,výpočty!AA166,
IF(BARVA=8,výpočty!AA154,0))))))))</f>
        <v>R92823</v>
      </c>
      <c r="AZ30" s="116" t="str">
        <f>IF(BARVA=1,výpočty!AB161,IF(BARVA=2,výpočty!AB159,IF(BARVA=3,výpočty!AB170,IF(BARVA=4,výpočty!AB157,IF(BARVA=5,výpočty!AB164,IF(BARVA=6,výpočty!AB168,IF(BARVA=7,výpočty!AB166,IF(BARVA=8,výpočty!AB154,0))))))))</f>
        <v>Listwa tor. na wkręt czarna</v>
      </c>
      <c r="BA30" s="116">
        <f>IF(BARVA=1,výpočty!AC161,IF(BARVA=2,výpočty!AC159,IF(BARVA=3,výpočty!AC170,IF(BARVA=4,výpočty!AC157,IF(BARVA=5,výpočty!AC164,IF(BARVA=6,výpočty!AC168,IF(BARVA=7,výpočty!AC166,IF(BARVA=8,výpočty!AC154,0))))))))</f>
        <v>20.510159999999999</v>
      </c>
      <c r="BB30" s="26" t="s">
        <v>37</v>
      </c>
      <c r="BC30" s="118" t="str">
        <f>IF(BARVA=1,výpočty!AA124,IF(BARVA=2,výpočty!AA220,IF(BARVA=3,výpočty!AA133,IF(BARVA=4,výpočty!AA122,IF(BARVA=5,výpočty!AA126,IF(BARVA=6,výpočty!AA129,IF(BARVA=7,výpočty!AA127,IF(BARVA=8,výpočty!AA130,0))))))))</f>
        <v>R88209</v>
      </c>
      <c r="BD30" s="118" t="str">
        <f>IF(BARVA=1,výpočty!AB124,IF(BARVA=2,výpočty!AB220,IF(BARVA=3,výpočty!AB133,IF(BARVA=4,výpočty!AB122,IF(BARVA=5,výpočty!AB126,IF(BARVA=6,výpočty!AB129,IF(BARVA=7,výpočty!AB127,IF(BARVA=8,výpočty!AB130,0))))))))</f>
        <v>Narożnik lis.tor.na wkr. czarny</v>
      </c>
      <c r="BE30" s="118">
        <f>IF(BARVA=1,výpočty!AC124,IF(BARVA=2,výpočty!AC220,IF(BARVA=3,výpočty!AC133,IF(BARVA=4,výpočty!AC122,IF(BARVA=5,výpočty!AC126,IF(BARVA=6,výpočty!AC129,IF(BARVA=7,výpočty!AC127,IF(BARVA=8,výpočty!AC130,0))))))))</f>
        <v>5.8428699999999996</v>
      </c>
    </row>
    <row r="31" spans="1:57" ht="18" thickBot="1" x14ac:dyDescent="0.35">
      <c r="A31" s="62" t="s">
        <v>57</v>
      </c>
      <c r="B31" s="63"/>
      <c r="C31" s="63"/>
      <c r="D31" s="64" t="s">
        <v>56</v>
      </c>
      <c r="E31" s="63"/>
      <c r="F31" s="65">
        <f>(1+I31/100)*(1-L31/100)</f>
        <v>1</v>
      </c>
      <c r="G31" s="63"/>
      <c r="H31" s="63" t="s">
        <v>63</v>
      </c>
      <c r="I31" s="63">
        <f>'Slevy a rabaty'!D12</f>
        <v>0</v>
      </c>
      <c r="J31" s="63" t="s">
        <v>64</v>
      </c>
      <c r="K31" s="63" t="s">
        <v>62</v>
      </c>
      <c r="L31" s="63">
        <f>'Slevy a rabaty'!D8</f>
        <v>0</v>
      </c>
      <c r="M31" s="63" t="s">
        <v>64</v>
      </c>
      <c r="N31" s="63"/>
      <c r="O31" s="66"/>
      <c r="R31" s="135" t="s">
        <v>396</v>
      </c>
      <c r="S31" s="23">
        <v>1</v>
      </c>
      <c r="Z31">
        <v>245</v>
      </c>
      <c r="AA31" s="90" t="s">
        <v>468</v>
      </c>
      <c r="AB31" s="179" t="str">
        <f t="shared" si="1"/>
        <v>Listwa końcowa alum.(plast)</v>
      </c>
      <c r="AC31" s="91">
        <f t="shared" si="2"/>
        <v>80.561509999999998</v>
      </c>
      <c r="AD31" s="91">
        <f t="shared" si="3"/>
        <v>80.561509999999998</v>
      </c>
      <c r="AE31" s="191" t="s">
        <v>154</v>
      </c>
      <c r="AF31" s="194">
        <f>Odečty!B3</f>
        <v>-30</v>
      </c>
      <c r="AG31" s="194">
        <f>Odečty!C3</f>
        <v>-6</v>
      </c>
      <c r="AH31" s="194">
        <f>Odečty!D3</f>
        <v>-29</v>
      </c>
      <c r="AI31" s="194">
        <f>Odečty!E3</f>
        <v>-29</v>
      </c>
      <c r="AJ31" s="194">
        <f>Odečty!F3</f>
        <v>-32</v>
      </c>
      <c r="AK31" s="194">
        <v>1</v>
      </c>
      <c r="AL31" s="187"/>
      <c r="AM31" s="187"/>
      <c r="AN31" s="121"/>
      <c r="AO31" s="121" t="str">
        <f>IF(výpočty!$BC$30=0,BD31,BD30)</f>
        <v>Narożnik lis.tor.na wkr. czarny</v>
      </c>
      <c r="AP31" s="121"/>
      <c r="AQ31" s="121" t="str">
        <f>IF(výpočty!$BC$30=0,BC31,BC30)</f>
        <v>R88209</v>
      </c>
      <c r="AR31" s="121">
        <f>4*OBJ_KUSY</f>
        <v>0</v>
      </c>
      <c r="AS31" s="121" t="s">
        <v>22</v>
      </c>
      <c r="AT31" s="121">
        <f>IF(výpočty!$S$22=0,BE31,BE30)</f>
        <v>5.8428699999999996</v>
      </c>
      <c r="AU31" s="121"/>
      <c r="AV31" s="121">
        <f>AT31*AR31</f>
        <v>0</v>
      </c>
      <c r="AW31" s="121"/>
      <c r="AX31" s="122"/>
      <c r="AY31" s="117" t="str">
        <f>IF(BARVA=9,výpočty!AA167,
IF(BARVA=10,výpočty!AA165,
IF(BARVA=12,AA159,
IF(BARVA=15,výpočty!AA170,výpočty!AA157))))</f>
        <v>R77089</v>
      </c>
      <c r="AZ31" s="117" t="str">
        <f>IF(BARVA=9,výpočty!AB167,
IF(BARVA=10,výpočty!AB165,
IF(BARVA=12,AB159,
IF(BARVA=15,výpočty!AB170,výpočty!AB157))))</f>
        <v>Listwa tor. na wkręt ciem. szara(al.)</v>
      </c>
      <c r="BA31" s="117">
        <f>IF(BARVA=9,výpočty!AC167,
IF(BARVA=10,výpočty!AC165,
IF(BARVA=12,AC159,
IF(BARVA=15,výpočty!AC170,výpočty!AC157))))</f>
        <v>20.510159999999999</v>
      </c>
      <c r="BB31" s="27"/>
      <c r="BC31" s="119" t="str">
        <f>IF(BARVA=9,výpočty!AA128,IF(BARVA=10,výpočty!AA131,IF(BARVA=11," ",IF(BARVA=15,výpočty!AA133,výpočty!AA122))))</f>
        <v>R92831</v>
      </c>
      <c r="BD31" s="119" t="str">
        <f>IF(BARVA=9,výpočty!AB128,IF(BARVA=10,výpočty!AB131,IF(BARVA=11,"nutno vybrat dekor",IF(BARVA=15,výpočty!AB133,výpočty!AB122))))</f>
        <v>Narożnik lis.tor.na wkr. jas.szary (al.)</v>
      </c>
      <c r="BE31" s="119">
        <f>IF(BARVA=9,výpočty!AC128,IF(BARVA=10,výpočty!AC131,IF(BARVA=11," ",IF(BARVA=15,výpočty!AC133,výpočty!AC122))))</f>
        <v>5.8428699999999996</v>
      </c>
    </row>
    <row r="32" spans="1:57" ht="13.8" thickBot="1" x14ac:dyDescent="0.3">
      <c r="A32" s="67"/>
      <c r="B32" s="68" t="s">
        <v>28</v>
      </c>
      <c r="C32" s="68" t="s">
        <v>44</v>
      </c>
      <c r="D32" s="68" t="s">
        <v>35</v>
      </c>
      <c r="E32" s="68" t="s">
        <v>42</v>
      </c>
      <c r="F32" s="68" t="s">
        <v>84</v>
      </c>
      <c r="G32" s="68" t="s">
        <v>34</v>
      </c>
      <c r="H32" s="68"/>
      <c r="I32" s="68"/>
      <c r="J32" s="68" t="s">
        <v>32</v>
      </c>
      <c r="K32" s="68" t="s">
        <v>36</v>
      </c>
      <c r="L32" s="68" t="s">
        <v>43</v>
      </c>
      <c r="M32" s="68"/>
      <c r="N32" s="68" t="s">
        <v>37</v>
      </c>
      <c r="O32" s="69"/>
      <c r="Q32">
        <v>4</v>
      </c>
      <c r="R32" s="134" t="s">
        <v>395</v>
      </c>
      <c r="S32" s="23">
        <v>1</v>
      </c>
      <c r="Z32">
        <v>245</v>
      </c>
      <c r="AA32" s="90" t="s">
        <v>469</v>
      </c>
      <c r="AB32" s="179" t="str">
        <f t="shared" si="1"/>
        <v>Listwa końcowa jawor</v>
      </c>
      <c r="AC32" s="91">
        <f t="shared" si="2"/>
        <v>80.561509999999998</v>
      </c>
      <c r="AD32" s="91">
        <f t="shared" si="3"/>
        <v>80.561509999999998</v>
      </c>
      <c r="AE32" s="191" t="s">
        <v>155</v>
      </c>
      <c r="AF32" s="194">
        <f>Odečty!B3</f>
        <v>-30</v>
      </c>
      <c r="AG32" s="194">
        <f>Odečty!C3</f>
        <v>-6</v>
      </c>
      <c r="AH32" s="194">
        <f>Odečty!D3</f>
        <v>-29</v>
      </c>
      <c r="AI32" s="194">
        <f>Odečty!E3</f>
        <v>-29</v>
      </c>
      <c r="AJ32" s="194">
        <f>Odečty!F3</f>
        <v>-32</v>
      </c>
      <c r="AK32" s="194">
        <v>1</v>
      </c>
      <c r="AL32" s="187"/>
      <c r="AM32" s="187"/>
      <c r="AO32" t="str">
        <f>IF(výpočty!$AZ$30=0,AZ31,AZ30)</f>
        <v>Listwa tor. na wkręt czarna</v>
      </c>
      <c r="AQ32" t="str">
        <f>IF(výpočty!$AY$30=0,AY31,AY30)</f>
        <v>R92823</v>
      </c>
      <c r="AR32">
        <f>IF(SMER=1,OBJ_KUSY*AY32*2.5,OBJ_KUSY*AZ32*2.5)</f>
        <v>0</v>
      </c>
      <c r="AS32" t="s">
        <v>124</v>
      </c>
      <c r="AT32">
        <f>IF(výpočty!$S$22=0,BA31,BA30)</f>
        <v>20.510159999999999</v>
      </c>
      <c r="AV32">
        <f>AT32*AR32</f>
        <v>0</v>
      </c>
      <c r="AY32" s="120">
        <f>CEILING(2*Titulní!$B$9/2500,1)</f>
        <v>1</v>
      </c>
      <c r="AZ32" s="50">
        <f>CEILING(2*Titulní!$B$11/2500,1)</f>
        <v>1</v>
      </c>
    </row>
    <row r="33" spans="1:56" ht="13.8" thickBot="1" x14ac:dyDescent="0.3">
      <c r="A33" s="67" t="s">
        <v>26</v>
      </c>
      <c r="B33" s="70">
        <f t="shared" ref="B33:F35" si="5">B57*$F$31</f>
        <v>21.09207</v>
      </c>
      <c r="C33" s="71">
        <f t="shared" si="5"/>
        <v>52.730175000000003</v>
      </c>
      <c r="D33" s="71">
        <f t="shared" si="5"/>
        <v>80.561509999999998</v>
      </c>
      <c r="E33" s="71">
        <f t="shared" si="5"/>
        <v>8.5023300000000006</v>
      </c>
      <c r="F33" s="71">
        <f t="shared" si="5"/>
        <v>0.60260999999999998</v>
      </c>
      <c r="G33" s="71">
        <f>G57*$F$31</f>
        <v>61.848480000000002</v>
      </c>
      <c r="H33" s="72"/>
      <c r="I33" s="72" t="s">
        <v>33</v>
      </c>
      <c r="J33" s="70">
        <f t="shared" ref="J33:J38" si="6">J57*$F$31</f>
        <v>20.510159999999999</v>
      </c>
      <c r="K33" s="72"/>
      <c r="L33" s="71">
        <f t="shared" ref="L33:L39" si="7">L57*$F$31</f>
        <v>51.275399999999998</v>
      </c>
      <c r="M33" s="72"/>
      <c r="N33" s="71">
        <f>N57*$F$31</f>
        <v>5.8428699999999996</v>
      </c>
      <c r="O33" s="69"/>
      <c r="R33" s="135" t="s">
        <v>396</v>
      </c>
      <c r="S33" s="23"/>
      <c r="Z33">
        <v>655</v>
      </c>
      <c r="AA33" s="90" t="s">
        <v>470</v>
      </c>
      <c r="AB33" s="179" t="str">
        <f t="shared" si="1"/>
        <v>Listwa koń.z uskokiem ALU 230L</v>
      </c>
      <c r="AC33" s="91" t="e">
        <f t="shared" si="2"/>
        <v>#N/A</v>
      </c>
      <c r="AD33" s="91" t="e">
        <f t="shared" si="3"/>
        <v>#N/A</v>
      </c>
      <c r="AE33" s="191" t="s">
        <v>156</v>
      </c>
      <c r="AF33" s="194" t="str">
        <f>Odečty!B5</f>
        <v>-</v>
      </c>
      <c r="AG33" s="194" t="str">
        <f>Odečty!C5</f>
        <v>-</v>
      </c>
      <c r="AH33" s="194">
        <f>Odečty!D5</f>
        <v>-28</v>
      </c>
      <c r="AI33" s="194" t="str">
        <f>Odečty!E5</f>
        <v>-</v>
      </c>
      <c r="AJ33" s="194">
        <f>Odečty!F5</f>
        <v>-29</v>
      </c>
      <c r="AK33" s="194">
        <v>1</v>
      </c>
      <c r="AL33" s="187"/>
      <c r="AM33" s="187"/>
      <c r="AN33" t="s">
        <v>379</v>
      </c>
      <c r="AO33" s="50" t="str">
        <f>IF(Titulní!$B$9&gt;1590,Překlady!$A$84,
IF(Titulní!$B$9&gt;1280,AB176,
IF(Titulní!$B$9&gt;670,AB172,AB174)))</f>
        <v>Ślimak rolety 8mm, dł.zwoju 670mm czar.</v>
      </c>
      <c r="AP33" s="50"/>
      <c r="AQ33" s="50" t="str">
        <f>IF(Titulní!$B$9&gt;1590,Překlady!$A$84,IF(Titulní!$B$9&gt;1280,AA176,IF(Titulní!$B$9&gt;670,AA172,AA174)))</f>
        <v>R95848</v>
      </c>
      <c r="AR33">
        <f>1*OBJ_KUSY</f>
        <v>0</v>
      </c>
      <c r="AS33" t="s">
        <v>372</v>
      </c>
      <c r="AT33">
        <f>IF(Titulní!$B$9&gt;1590,Překlady!$A$84,IF(Titulní!$B$9&gt;1280,AC176,IF(Titulní!$B$9&gt;670,AC172,AC174)))</f>
        <v>30.603929999999998</v>
      </c>
      <c r="AV33" s="50">
        <f>AT33*AR33</f>
        <v>0</v>
      </c>
    </row>
    <row r="34" spans="1:56" ht="13.8" thickBot="1" x14ac:dyDescent="0.3">
      <c r="A34" s="67" t="s">
        <v>27</v>
      </c>
      <c r="B34" s="70">
        <f t="shared" si="5"/>
        <v>19.28388</v>
      </c>
      <c r="C34" s="71">
        <f t="shared" si="5"/>
        <v>48.209699999999998</v>
      </c>
      <c r="D34" s="71">
        <f t="shared" si="5"/>
        <v>69.139859999999999</v>
      </c>
      <c r="E34" s="71">
        <f t="shared" si="5"/>
        <v>18.350619999999999</v>
      </c>
      <c r="F34" s="70"/>
      <c r="G34" s="71">
        <f>G58*$F$31</f>
        <v>45.669879999999999</v>
      </c>
      <c r="H34" s="72"/>
      <c r="I34" s="72" t="s">
        <v>13</v>
      </c>
      <c r="J34" s="70">
        <f t="shared" si="6"/>
        <v>9.7397399999999994</v>
      </c>
      <c r="K34" s="72"/>
      <c r="L34" s="71">
        <f t="shared" si="7"/>
        <v>24.349349999999998</v>
      </c>
      <c r="M34" s="72"/>
      <c r="N34" s="71">
        <f>N58*$F$31</f>
        <v>5.2317799999999997</v>
      </c>
      <c r="O34" s="69"/>
      <c r="Q34">
        <v>5</v>
      </c>
      <c r="R34" s="134" t="s">
        <v>395</v>
      </c>
      <c r="S34" s="23">
        <v>1</v>
      </c>
      <c r="Z34">
        <v>545</v>
      </c>
      <c r="AA34" s="90" t="s">
        <v>471</v>
      </c>
      <c r="AB34" s="179" t="str">
        <f t="shared" si="1"/>
        <v>Listwa końcowa z uskokiem ALU dolna częś</v>
      </c>
      <c r="AC34" s="91">
        <f t="shared" si="2"/>
        <v>178.88355999999999</v>
      </c>
      <c r="AD34" s="91">
        <f t="shared" si="3"/>
        <v>178.88355999999999</v>
      </c>
      <c r="AE34" s="191" t="s">
        <v>157</v>
      </c>
      <c r="AF34" s="194" t="str">
        <f>Odečty!B5</f>
        <v>-</v>
      </c>
      <c r="AG34" s="194" t="str">
        <f>Odečty!C5</f>
        <v>-</v>
      </c>
      <c r="AH34" s="194">
        <f>Odečty!D5</f>
        <v>-28</v>
      </c>
      <c r="AI34" s="194" t="str">
        <f>Odečty!E5</f>
        <v>-</v>
      </c>
      <c r="AJ34" s="194">
        <f>Odečty!F5</f>
        <v>-29</v>
      </c>
      <c r="AK34" s="194">
        <v>1</v>
      </c>
      <c r="AL34" s="187"/>
      <c r="AM34" s="187"/>
      <c r="AO34" s="120" t="str">
        <f>IF(Titulní!$B$11&gt;1590,Překlady!$A$84,
IF(Titulní!$B$11&gt;1280,AB176,
IF(Titulní!$B$11&gt;670,AB172,AB174)))</f>
        <v>Ślimak rolety 8mm, dł.zwoju 670mm czar.</v>
      </c>
      <c r="AP34" s="120"/>
      <c r="AQ34" s="120" t="str">
        <f>IF(Titulní!$B$11&gt;1590,Překlady!$A$84,IF(Titulní!$B$11&gt;1280,AA176,IF(Titulní!$B$11&gt;670,AA172,AA174)))</f>
        <v>R95848</v>
      </c>
      <c r="AR34">
        <f>1*OBJ_KUSY</f>
        <v>0</v>
      </c>
      <c r="AS34" t="s">
        <v>372</v>
      </c>
      <c r="AT34">
        <f>IF(Titulní!$B$11&gt;1590,Překlady!$A$84,
IF(Titulní!$B$11&gt;1280,AC176,
IF(Titulní!$B$11&gt;670,AC172,AC174)))</f>
        <v>30.603929999999998</v>
      </c>
      <c r="AV34" s="120">
        <f>AT34*AR33</f>
        <v>0</v>
      </c>
    </row>
    <row r="35" spans="1:56" ht="13.8" thickBot="1" x14ac:dyDescent="0.3">
      <c r="A35" s="67" t="s">
        <v>30</v>
      </c>
      <c r="B35" s="70">
        <f t="shared" si="5"/>
        <v>19.759789999999999</v>
      </c>
      <c r="C35" s="71">
        <f t="shared" si="5"/>
        <v>49.399474999999995</v>
      </c>
      <c r="D35" s="71">
        <f t="shared" si="5"/>
        <v>165.55967000000001</v>
      </c>
      <c r="E35" s="71">
        <f t="shared" si="5"/>
        <v>9.7358899999999995</v>
      </c>
      <c r="F35" s="70"/>
      <c r="G35" s="71">
        <f>G59*$F$31</f>
        <v>114.81813</v>
      </c>
      <c r="H35" s="72"/>
      <c r="I35" s="72" t="s">
        <v>38</v>
      </c>
      <c r="J35" s="70">
        <f t="shared" si="6"/>
        <v>0</v>
      </c>
      <c r="K35" s="70">
        <f>K59*$F$31</f>
        <v>24.326920000000001</v>
      </c>
      <c r="L35" s="71">
        <f t="shared" si="7"/>
        <v>60.817300000000003</v>
      </c>
      <c r="M35" s="72"/>
      <c r="N35" s="71">
        <f>N59*$F$31</f>
        <v>6.6591399999999998</v>
      </c>
      <c r="O35" s="69"/>
      <c r="R35" s="135" t="s">
        <v>396</v>
      </c>
      <c r="S35" s="23"/>
      <c r="Z35">
        <v>208</v>
      </c>
      <c r="AA35" s="90" t="s">
        <v>472</v>
      </c>
      <c r="AB35" s="179" t="str">
        <f t="shared" si="1"/>
        <v>Listwa końcowa szara</v>
      </c>
      <c r="AC35" s="91">
        <f t="shared" si="2"/>
        <v>69.139859999999999</v>
      </c>
      <c r="AD35" s="91">
        <f t="shared" si="3"/>
        <v>69.139859999999999</v>
      </c>
      <c r="AE35" s="191" t="s">
        <v>158</v>
      </c>
      <c r="AF35" s="194">
        <f>Odečty!B3</f>
        <v>-30</v>
      </c>
      <c r="AG35" s="194">
        <f>Odečty!C3</f>
        <v>-6</v>
      </c>
      <c r="AH35" s="194">
        <f>Odečty!D3</f>
        <v>-29</v>
      </c>
      <c r="AI35" s="194">
        <f>Odečty!E3</f>
        <v>-29</v>
      </c>
      <c r="AJ35" s="194">
        <f>Odečty!F3</f>
        <v>-32</v>
      </c>
      <c r="AK35" s="194">
        <v>1</v>
      </c>
      <c r="AL35" s="187"/>
      <c r="AM35" s="187"/>
      <c r="AO35" t="str">
        <f>IF(SMER=1,AO33,AO34)</f>
        <v>Ślimak rolety 8mm, dł.zwoju 670mm czar.</v>
      </c>
      <c r="AQ35" t="str">
        <f>IF(SMER=1,AQ33,AQ34)</f>
        <v>R95848</v>
      </c>
      <c r="AR35">
        <f>IF(SMER=1,AR33,AR34)</f>
        <v>0</v>
      </c>
      <c r="AS35" t="str">
        <f>IF(SMER=1,AS33,AS34)</f>
        <v>pár</v>
      </c>
      <c r="AT35">
        <f>IF(SMER=1,AT33,AT34)</f>
        <v>30.603929999999998</v>
      </c>
      <c r="AV35">
        <f>IF(SMER=1,AV33,AV34)</f>
        <v>0</v>
      </c>
    </row>
    <row r="36" spans="1:56" ht="13.8" thickBot="1" x14ac:dyDescent="0.3">
      <c r="A36" s="67" t="s">
        <v>31</v>
      </c>
      <c r="B36" s="70">
        <f>B60*$F$31</f>
        <v>20.679410000000001</v>
      </c>
      <c r="C36" s="71">
        <f>C60*$F$31</f>
        <v>51.698525000000004</v>
      </c>
      <c r="D36" s="71">
        <f>D60*$F$31</f>
        <v>224.55905000000001</v>
      </c>
      <c r="E36" s="71">
        <f>E60*$F$31</f>
        <v>9.7358899999999995</v>
      </c>
      <c r="F36" s="70"/>
      <c r="G36" s="71">
        <f>G60*$F$31</f>
        <v>255.91313</v>
      </c>
      <c r="H36" s="72"/>
      <c r="I36" s="72" t="s">
        <v>39</v>
      </c>
      <c r="J36" s="70">
        <f t="shared" si="6"/>
        <v>0</v>
      </c>
      <c r="K36" s="70">
        <f>K60*$F$31</f>
        <v>18.595009999999998</v>
      </c>
      <c r="L36" s="71">
        <f t="shared" si="7"/>
        <v>46.487524999999998</v>
      </c>
      <c r="M36" s="70"/>
      <c r="N36" s="71">
        <f>N60*$F$31</f>
        <v>6.6591399999999998</v>
      </c>
      <c r="O36" s="69"/>
      <c r="Q36">
        <v>6</v>
      </c>
      <c r="R36" s="134" t="s">
        <v>395</v>
      </c>
      <c r="S36" s="23">
        <v>1</v>
      </c>
      <c r="Z36">
        <v>245</v>
      </c>
      <c r="AA36" s="90" t="s">
        <v>473</v>
      </c>
      <c r="AB36" s="179" t="str">
        <f t="shared" si="1"/>
        <v>Listwa końcowa czereśnia Havana</v>
      </c>
      <c r="AC36" s="91">
        <f t="shared" si="2"/>
        <v>63.75076</v>
      </c>
      <c r="AD36" s="91">
        <f t="shared" si="3"/>
        <v>63.75076</v>
      </c>
      <c r="AE36" s="191" t="s">
        <v>159</v>
      </c>
      <c r="AF36" s="194">
        <f>Odečty!B3</f>
        <v>-30</v>
      </c>
      <c r="AG36" s="194">
        <f>Odečty!C3</f>
        <v>-6</v>
      </c>
      <c r="AH36" s="194">
        <f>Odečty!D3</f>
        <v>-29</v>
      </c>
      <c r="AI36" s="194">
        <f>Odečty!E3</f>
        <v>-29</v>
      </c>
      <c r="AJ36" s="194">
        <f>Odečty!F3</f>
        <v>-32</v>
      </c>
      <c r="AK36" s="194">
        <v>1</v>
      </c>
      <c r="AL36" s="187"/>
      <c r="AM36" s="187"/>
      <c r="AN36" t="s">
        <v>380</v>
      </c>
      <c r="AO36" t="str">
        <f>IF($U$14=1,Titulní!A59,Překlady!A92)</f>
        <v>nie można zastosować mech.rolet. C3</v>
      </c>
      <c r="AQ36" t="str">
        <f>AO36</f>
        <v>nie można zastosować mech.rolet. C3</v>
      </c>
      <c r="AR36">
        <f>1*OBJ_KUSY</f>
        <v>0</v>
      </c>
      <c r="AT36" t="e">
        <f>IF($U$14=1,$AB$1*Titulní!G59," ")</f>
        <v>#VALUE!</v>
      </c>
      <c r="AV36" t="e">
        <f>AT36*AR36</f>
        <v>#VALUE!</v>
      </c>
    </row>
    <row r="37" spans="1:56" ht="13.8" thickBot="1" x14ac:dyDescent="0.3">
      <c r="A37" s="67"/>
      <c r="B37" s="70"/>
      <c r="C37" s="73"/>
      <c r="D37" s="73"/>
      <c r="E37" s="73"/>
      <c r="F37" s="70"/>
      <c r="G37" s="73"/>
      <c r="H37" s="72"/>
      <c r="I37" s="72" t="s">
        <v>59</v>
      </c>
      <c r="J37" s="70">
        <f t="shared" si="6"/>
        <v>0</v>
      </c>
      <c r="K37" s="70">
        <f>K61*$F$31</f>
        <v>52.337490000000003</v>
      </c>
      <c r="L37" s="71">
        <f t="shared" si="7"/>
        <v>130.84372500000001</v>
      </c>
      <c r="M37" s="70"/>
      <c r="N37" s="71">
        <f>N61*$F$31</f>
        <v>6.6591399999999998</v>
      </c>
      <c r="O37" s="69"/>
      <c r="R37" s="135" t="s">
        <v>396</v>
      </c>
      <c r="S37" s="23"/>
      <c r="Z37">
        <v>245</v>
      </c>
      <c r="AA37" s="90" t="s">
        <v>474</v>
      </c>
      <c r="AB37" s="179" t="str">
        <f t="shared" si="1"/>
        <v>Listwa końcowa czereśnia</v>
      </c>
      <c r="AC37" s="91">
        <f t="shared" si="2"/>
        <v>80.561509999999998</v>
      </c>
      <c r="AD37" s="91">
        <f t="shared" si="3"/>
        <v>80.561509999999998</v>
      </c>
      <c r="AE37" s="191" t="s">
        <v>160</v>
      </c>
      <c r="AF37" s="194">
        <f>Odečty!B3</f>
        <v>-30</v>
      </c>
      <c r="AG37" s="194">
        <f>Odečty!C3</f>
        <v>-6</v>
      </c>
      <c r="AH37" s="194">
        <f>Odečty!D3</f>
        <v>-29</v>
      </c>
      <c r="AI37" s="194">
        <f>Odečty!E3</f>
        <v>-29</v>
      </c>
      <c r="AJ37" s="194">
        <f>Odečty!F3</f>
        <v>-32</v>
      </c>
      <c r="AK37" s="194">
        <v>1</v>
      </c>
      <c r="AL37" s="187"/>
      <c r="AM37" s="187"/>
    </row>
    <row r="38" spans="1:56" ht="13.8" thickBot="1" x14ac:dyDescent="0.3">
      <c r="A38" s="67"/>
      <c r="B38" s="70"/>
      <c r="C38" s="73"/>
      <c r="D38" s="73"/>
      <c r="E38" s="73"/>
      <c r="F38" s="70"/>
      <c r="G38" s="73"/>
      <c r="H38" s="72"/>
      <c r="I38" s="72" t="s">
        <v>415</v>
      </c>
      <c r="J38" s="70">
        <f t="shared" si="6"/>
        <v>0</v>
      </c>
      <c r="K38" s="70">
        <f>K62*$F$31</f>
        <v>91.980369999999994</v>
      </c>
      <c r="L38" s="71">
        <f t="shared" si="7"/>
        <v>229.95092499999998</v>
      </c>
      <c r="M38" s="70"/>
      <c r="N38" s="71"/>
      <c r="O38" s="69"/>
      <c r="R38" s="150"/>
      <c r="S38" s="23"/>
      <c r="Z38">
        <v>0</v>
      </c>
      <c r="AA38" s="90">
        <v>0</v>
      </c>
      <c r="AB38" s="90"/>
      <c r="AC38" s="91"/>
      <c r="AD38" s="91"/>
      <c r="AE38" s="191"/>
      <c r="AF38" s="194">
        <v>0</v>
      </c>
      <c r="AG38" s="194">
        <v>0</v>
      </c>
      <c r="AH38" s="194">
        <v>0</v>
      </c>
      <c r="AI38" s="194">
        <v>0</v>
      </c>
      <c r="AJ38" s="194">
        <v>0</v>
      </c>
      <c r="AK38" s="194">
        <v>0</v>
      </c>
      <c r="AL38" s="187"/>
      <c r="AM38" s="187"/>
    </row>
    <row r="39" spans="1:56" ht="13.8" thickBot="1" x14ac:dyDescent="0.3">
      <c r="A39" s="67"/>
      <c r="B39" s="70"/>
      <c r="C39" s="73"/>
      <c r="D39" s="73"/>
      <c r="E39" s="73"/>
      <c r="F39" s="70"/>
      <c r="G39" s="73"/>
      <c r="H39" s="72"/>
      <c r="I39" s="72" t="s">
        <v>122</v>
      </c>
      <c r="J39" s="70">
        <f t="shared" ref="J39:J44" si="8">J63*$F$31</f>
        <v>65.652900000000002</v>
      </c>
      <c r="K39" s="74" t="s">
        <v>124</v>
      </c>
      <c r="L39" s="71">
        <f t="shared" si="7"/>
        <v>65.652900000000002</v>
      </c>
      <c r="M39" s="70"/>
      <c r="N39" s="71"/>
      <c r="O39" s="69"/>
      <c r="Q39">
        <v>7</v>
      </c>
      <c r="R39" s="134" t="s">
        <v>395</v>
      </c>
      <c r="S39" s="23">
        <v>1</v>
      </c>
      <c r="Z39">
        <v>707</v>
      </c>
      <c r="AA39" s="90" t="s">
        <v>475</v>
      </c>
      <c r="AB39" s="179" t="str">
        <f t="shared" ref="AB39:AB61" si="9">VLOOKUP(AA39,$Z$246:$AJ$508,(1+$AE$1),0)</f>
        <v>Osłona listwy mask. z uskokiem ALU  230L</v>
      </c>
      <c r="AC39" s="91">
        <f t="shared" ref="AC39:AC61" si="10">$AB$1*AD39</f>
        <v>185.37687</v>
      </c>
      <c r="AD39" s="91">
        <f t="shared" ref="AD39:AD61" si="11">VLOOKUP(AA39,$Z$246:$AJ$508,(5+$AE$1),0)</f>
        <v>185.37687</v>
      </c>
      <c r="AE39" s="191" t="s">
        <v>161</v>
      </c>
      <c r="AF39" s="194" t="str">
        <f>Odečty!B12</f>
        <v>-</v>
      </c>
      <c r="AG39" s="194" t="str">
        <f>Odečty!C12</f>
        <v>-</v>
      </c>
      <c r="AH39" s="194">
        <f>Odečty!D12</f>
        <v>-24</v>
      </c>
      <c r="AI39" s="194" t="str">
        <f>Odečty!E12</f>
        <v>-</v>
      </c>
      <c r="AJ39" s="194">
        <f>Odečty!F12</f>
        <v>-25</v>
      </c>
      <c r="AK39" s="194">
        <v>1</v>
      </c>
      <c r="AL39" s="187"/>
      <c r="AM39" s="187"/>
      <c r="AO39" s="114" t="s">
        <v>381</v>
      </c>
      <c r="AP39" s="114"/>
      <c r="AT39" s="24"/>
      <c r="AU39" s="24"/>
    </row>
    <row r="40" spans="1:56" ht="13.8" thickBot="1" x14ac:dyDescent="0.3">
      <c r="A40" s="67" t="s">
        <v>15</v>
      </c>
      <c r="B40" s="72"/>
      <c r="C40" s="73"/>
      <c r="D40" s="71">
        <f>D64*$F$31</f>
        <v>165.55967000000001</v>
      </c>
      <c r="E40" s="73">
        <f>E64*$F$31</f>
        <v>9.7358899999999995</v>
      </c>
      <c r="F40" s="68" t="s">
        <v>85</v>
      </c>
      <c r="G40" s="71">
        <f>G64*$F$31</f>
        <v>185.37687</v>
      </c>
      <c r="H40" s="72"/>
      <c r="I40" s="72" t="s">
        <v>40</v>
      </c>
      <c r="J40" s="70">
        <f t="shared" si="8"/>
        <v>0</v>
      </c>
      <c r="K40" s="70" t="e">
        <f t="shared" ref="K40:L45" si="12">K64*$F$31</f>
        <v>#N/A</v>
      </c>
      <c r="L40" s="71" t="e">
        <f t="shared" si="12"/>
        <v>#N/A</v>
      </c>
      <c r="M40" s="70"/>
      <c r="N40" s="71">
        <f>N64*$F$31</f>
        <v>6.6591399999999998</v>
      </c>
      <c r="O40" s="69"/>
      <c r="R40" s="135" t="s">
        <v>396</v>
      </c>
      <c r="S40" s="23"/>
      <c r="Z40">
        <v>480</v>
      </c>
      <c r="AA40" s="90" t="s">
        <v>476</v>
      </c>
      <c r="AB40" s="179" t="str">
        <f t="shared" si="9"/>
        <v>Listwa maskująca ALU (profil L) ALU 230L</v>
      </c>
      <c r="AC40" s="91">
        <f t="shared" si="10"/>
        <v>114.81813</v>
      </c>
      <c r="AD40" s="91">
        <f t="shared" si="11"/>
        <v>114.81813</v>
      </c>
      <c r="AE40" s="191" t="s">
        <v>162</v>
      </c>
      <c r="AF40" s="194">
        <f>Odečty!B11</f>
        <v>-26</v>
      </c>
      <c r="AG40" s="194">
        <f>Odečty!C11</f>
        <v>0</v>
      </c>
      <c r="AH40" s="194" t="str">
        <f>Odečty!D11</f>
        <v>-</v>
      </c>
      <c r="AI40" s="194">
        <f>Odečty!E11</f>
        <v>-24</v>
      </c>
      <c r="AJ40" s="194" t="str">
        <f>Odečty!F11</f>
        <v>-</v>
      </c>
      <c r="AK40" s="194">
        <v>1</v>
      </c>
      <c r="AL40" s="187"/>
      <c r="AM40" s="187"/>
      <c r="AO40" s="414" t="s">
        <v>358</v>
      </c>
      <c r="AP40" s="616"/>
      <c r="AQ40" s="44" t="s">
        <v>357</v>
      </c>
      <c r="AR40" s="43" t="s">
        <v>360</v>
      </c>
      <c r="AS40" s="44" t="s">
        <v>359</v>
      </c>
      <c r="AT40" s="414" t="s">
        <v>361</v>
      </c>
      <c r="AU40" s="422"/>
      <c r="AV40" s="44" t="s">
        <v>362</v>
      </c>
      <c r="AW40" s="40"/>
      <c r="AY40" s="17"/>
      <c r="AZ40" s="17"/>
      <c r="BC40" s="17"/>
      <c r="BD40" s="17"/>
    </row>
    <row r="41" spans="1:56" ht="13.8" thickBot="1" x14ac:dyDescent="0.3">
      <c r="A41" s="67"/>
      <c r="B41" s="72"/>
      <c r="C41" s="72"/>
      <c r="D41" s="71">
        <f>D65*$F$31</f>
        <v>224.55905000000001</v>
      </c>
      <c r="E41" s="72"/>
      <c r="F41" s="68" t="s">
        <v>86</v>
      </c>
      <c r="G41" s="71">
        <f>G65*$F$31</f>
        <v>255.91313</v>
      </c>
      <c r="H41" s="72"/>
      <c r="I41" s="72" t="s">
        <v>41</v>
      </c>
      <c r="J41" s="70">
        <f t="shared" si="8"/>
        <v>0</v>
      </c>
      <c r="K41" s="70">
        <f t="shared" si="12"/>
        <v>23.981380000000001</v>
      </c>
      <c r="L41" s="71">
        <f t="shared" si="12"/>
        <v>59.953450000000004</v>
      </c>
      <c r="M41" s="70"/>
      <c r="N41" s="71">
        <f>N65*$F$31</f>
        <v>6.6591399999999998</v>
      </c>
      <c r="O41" s="69"/>
      <c r="Q41">
        <v>8</v>
      </c>
      <c r="R41" s="134" t="s">
        <v>395</v>
      </c>
      <c r="S41" s="23">
        <v>1</v>
      </c>
      <c r="Z41">
        <v>707</v>
      </c>
      <c r="AA41" s="90" t="s">
        <v>477</v>
      </c>
      <c r="AB41" s="179" t="str">
        <f t="shared" si="9"/>
        <v>Osłona listwy mask. z uskokiem ALU nierd</v>
      </c>
      <c r="AC41" s="91">
        <f t="shared" si="10"/>
        <v>255.91313</v>
      </c>
      <c r="AD41" s="91">
        <f t="shared" si="11"/>
        <v>255.91313</v>
      </c>
      <c r="AE41" s="191" t="s">
        <v>163</v>
      </c>
      <c r="AF41" s="194" t="str">
        <f>Odečty!B12</f>
        <v>-</v>
      </c>
      <c r="AG41" s="194" t="str">
        <f>Odečty!C12</f>
        <v>-</v>
      </c>
      <c r="AH41" s="194">
        <f>Odečty!D12</f>
        <v>-24</v>
      </c>
      <c r="AI41" s="194" t="str">
        <f>Odečty!E12</f>
        <v>-</v>
      </c>
      <c r="AJ41" s="194">
        <f>Odečty!F12</f>
        <v>-25</v>
      </c>
      <c r="AK41" s="194">
        <v>1</v>
      </c>
      <c r="AL41" s="187"/>
      <c r="AM41" s="187"/>
      <c r="AN41" t="s">
        <v>378</v>
      </c>
      <c r="AO41" t="str">
        <f>IF(BARVA=1,výpočty!AB160,
IF(BARVA=2,výpočty!AB158,
IF(BARVA=3,výpočty!AB169,
IF(BARVA=4,výpočty!AB169,
IF(BARVA=12,výpočty!AB158,
IF(BARVA=13,AB202,
IF(BARVA=15,výpočty!AB169,
IF(BARVA=16,výpočty!AB169,výpočty!AB163))))))))</f>
        <v>Listwa tor. 8mm do zafrez. czarna</v>
      </c>
      <c r="AQ41" t="str">
        <f>IF(BARVA=1,výpočty!AA160,
IF(BARVA=2,výpočty!AA158,
IF(BARVA=3,výpočty!AA169,
IF(BARVA=4,výpočty!AA169,
IF(BARVA=12,výpočty!AA158,
IF(BARVA=13,AA202,
IF(BARVA=15,výpočty!AA169,
IF(BARVA=16,výpočty!AA169,výpočty!AA163))))))))</f>
        <v>R92810</v>
      </c>
      <c r="AR41">
        <f>IF(SMER=1,OBJ_KUSY*G9*2.5,OBJ_KUSY*G21*2.5)</f>
        <v>0</v>
      </c>
      <c r="AS41" t="s">
        <v>124</v>
      </c>
      <c r="AT41">
        <f>IF(BARVA=1,výpočty!AC160,
IF(BARVA=2,výpočty!AC158,
IF(BARVA=3,výpočty!AC169,
IF(BARVA=4,výpočty!AC169,
IF(BARVA=11,výpočty!AC158,
IF(BARVA=15,výpočty!AC169,
IF(BARVA=16,výpočty!AC169,výpočty!AC163)))))))</f>
        <v>9.7397399999999994</v>
      </c>
      <c r="AV41">
        <f>AT41*AR41</f>
        <v>0</v>
      </c>
    </row>
    <row r="42" spans="1:56" ht="13.8" thickBot="1" x14ac:dyDescent="0.3">
      <c r="A42" s="67"/>
      <c r="B42" s="72"/>
      <c r="C42" s="68" t="s">
        <v>85</v>
      </c>
      <c r="D42" s="68" t="s">
        <v>86</v>
      </c>
      <c r="E42" s="72"/>
      <c r="F42" s="72"/>
      <c r="G42" s="72"/>
      <c r="H42" s="72"/>
      <c r="I42" s="72" t="s">
        <v>60</v>
      </c>
      <c r="J42" s="70">
        <f t="shared" si="8"/>
        <v>0</v>
      </c>
      <c r="K42" s="70">
        <f t="shared" si="12"/>
        <v>65.023520000000005</v>
      </c>
      <c r="L42" s="71">
        <f t="shared" si="12"/>
        <v>162.55880000000002</v>
      </c>
      <c r="M42" s="70"/>
      <c r="N42" s="71">
        <f>N66*$F$31</f>
        <v>6.6591399999999998</v>
      </c>
      <c r="O42" s="69"/>
      <c r="R42" s="135" t="s">
        <v>396</v>
      </c>
      <c r="S42" s="23"/>
      <c r="Z42">
        <v>135</v>
      </c>
      <c r="AA42" s="90" t="s">
        <v>478</v>
      </c>
      <c r="AB42" s="179" t="str">
        <f t="shared" si="9"/>
        <v>Listwa maskująca uni biała</v>
      </c>
      <c r="AC42" s="91">
        <f t="shared" si="10"/>
        <v>45.669879999999999</v>
      </c>
      <c r="AD42" s="91">
        <f t="shared" si="11"/>
        <v>45.669879999999999</v>
      </c>
      <c r="AE42" s="191" t="s">
        <v>164</v>
      </c>
      <c r="AF42" s="194">
        <f>Odečty!B11</f>
        <v>-26</v>
      </c>
      <c r="AG42" s="194">
        <f>Odečty!C11</f>
        <v>0</v>
      </c>
      <c r="AH42" s="194" t="str">
        <f>Odečty!D11</f>
        <v>-</v>
      </c>
      <c r="AI42" s="194">
        <f>Odečty!E11</f>
        <v>-24</v>
      </c>
      <c r="AJ42" s="194" t="str">
        <f>Odečty!F11</f>
        <v>-</v>
      </c>
      <c r="AK42" s="194">
        <v>1</v>
      </c>
      <c r="AL42" s="187"/>
      <c r="AM42" s="187"/>
      <c r="AN42" s="121"/>
      <c r="AO42" s="121" t="str">
        <f>IF(BARVA=1,výpočty!AB221,
IF(BARVA=2,výpočty!AB123,
IF(BARVA=3,výpočty!AB132,
IF(BARVA=4,výpočty!AB132,
IF(BARVA=12,výpočty!AB123,
IF(BARVA=13,AB203,
IF(BARVA=15,výpočty!AB132,
IF(BARVA=16,výpočty!AB132,výpočty!AB125))))))))</f>
        <v>Róg list.tor.90 °- 8mm czarny</v>
      </c>
      <c r="AP42" s="121"/>
      <c r="AQ42" s="121" t="str">
        <f>IF(BARVA=1,výpočty!AA221,
IF(BARVA=2,výpočty!AA123,
IF(BARVA=3,výpočty!AA132,
IF(BARVA=4,výpočty!AA132,
IF(BARVA=12,výpočty!AA123,
IF(BARVA=13,AA203,
IF(BARVA=15,výpočty!AA132,
IF(BARVA=16,výpočty!AA132,výpočty!AA125))))))))</f>
        <v>R92828</v>
      </c>
      <c r="AR42" s="121">
        <f>4*OBJ_KUSY</f>
        <v>0</v>
      </c>
      <c r="AS42" s="121" t="s">
        <v>22</v>
      </c>
      <c r="AT42" s="121">
        <f>IF(BARVA=1,výpočty!AC221,
IF(BARVA=2,výpočty!AC123,
IF(BARVA=3,výpočty!AC132,
IF(BARVA=4,výpočty!AC132,
IF(BARVA=11,výpočty!AC123,
IF(BARVA=15,výpočty!AC132,
IF(BARVA=16,výpočty!AC132,výpočty!AC125)))))))</f>
        <v>5.2317799999999997</v>
      </c>
      <c r="AU42" s="121"/>
      <c r="AV42" s="121">
        <f>AT42*AR42</f>
        <v>0</v>
      </c>
      <c r="AW42" s="121"/>
      <c r="AX42" s="121"/>
    </row>
    <row r="43" spans="1:56" ht="13.8" thickBot="1" x14ac:dyDescent="0.3">
      <c r="A43" s="67" t="s">
        <v>392</v>
      </c>
      <c r="B43" s="68" t="s">
        <v>32</v>
      </c>
      <c r="C43" s="70">
        <f>C67*$F$31</f>
        <v>170.90098</v>
      </c>
      <c r="D43" s="70">
        <f>D67*$F$31</f>
        <v>188.14168000000001</v>
      </c>
      <c r="E43" s="72"/>
      <c r="F43" s="72"/>
      <c r="G43" s="72"/>
      <c r="H43" s="72"/>
      <c r="I43" s="72" t="s">
        <v>61</v>
      </c>
      <c r="J43" s="70">
        <f t="shared" si="8"/>
        <v>0</v>
      </c>
      <c r="K43" s="70">
        <f t="shared" si="12"/>
        <v>115.13282</v>
      </c>
      <c r="L43" s="71">
        <f t="shared" si="12"/>
        <v>287.83204999999998</v>
      </c>
      <c r="M43" s="70"/>
      <c r="N43" s="71">
        <f>N67*$F$31</f>
        <v>6.6591399999999998</v>
      </c>
      <c r="O43" s="69"/>
      <c r="Q43">
        <v>9</v>
      </c>
      <c r="R43" s="134" t="s">
        <v>395</v>
      </c>
      <c r="S43" s="23">
        <v>1</v>
      </c>
      <c r="Z43">
        <v>185</v>
      </c>
      <c r="AA43" s="90" t="s">
        <v>479</v>
      </c>
      <c r="AB43" s="179" t="str">
        <f t="shared" si="9"/>
        <v>Listwa maskująca dekor brzoza</v>
      </c>
      <c r="AC43" s="91">
        <f t="shared" si="10"/>
        <v>61.848480000000002</v>
      </c>
      <c r="AD43" s="91">
        <f t="shared" si="11"/>
        <v>61.848480000000002</v>
      </c>
      <c r="AE43" s="191" t="s">
        <v>165</v>
      </c>
      <c r="AF43" s="194">
        <f>Odečty!B11</f>
        <v>-26</v>
      </c>
      <c r="AG43" s="194">
        <f>Odečty!C11</f>
        <v>0</v>
      </c>
      <c r="AH43" s="194" t="str">
        <f>Odečty!D11</f>
        <v>-</v>
      </c>
      <c r="AI43" s="194">
        <f>Odečty!E11</f>
        <v>-24</v>
      </c>
      <c r="AJ43" s="194" t="str">
        <f>Odečty!F11</f>
        <v>-</v>
      </c>
      <c r="AK43" s="194">
        <v>1</v>
      </c>
      <c r="AL43" s="187"/>
      <c r="AM43" s="187"/>
      <c r="AO43" t="str">
        <f>IF(BARVA=1,výpočty!AB160,
IF(BARVA=2,výpočty!AB158,
IF(BARVA=3,výpočty!AB169,
IF(BARVA=4,výpočty!AB169,
IF(BARVA=12,výpočty!AB158,
IF(BARVA=15,výpočty!AB169,
IF(BARVA=16,výpočty!AB169,výpočty!AB163)))))))</f>
        <v>Listwa tor. 8mm do zafrez. czarna</v>
      </c>
      <c r="AQ43" t="str">
        <f>IF(BARVA=1,výpočty!AA160,
IF(BARVA=2,výpočty!AA158,
IF(BARVA=3,výpočty!AA169,
IF(BARVA=4,výpočty!AA169,
IF(BARVA=12,výpočty!AA158,
IF(BARVA=15,výpočty!AA169,
IF(BARVA=16,výpočty!AA169,výpočty!AA163)))))))</f>
        <v>R92810</v>
      </c>
      <c r="AR43">
        <f>IF(SMER=1,OBJ_KUSY*AY43*2.5,OBJ_KUSY*AZ43*2.5)</f>
        <v>0</v>
      </c>
      <c r="AS43" t="s">
        <v>124</v>
      </c>
      <c r="AT43">
        <f>IF(BARVA=1,výpočty!AC160,
IF(BARVA=2,výpočty!AC158,
IF(BARVA=3,výpočty!AC169,
IF(BARVA=4,výpočty!AC169,
IF(BARVA=11,výpočty!AC158,
IF(BARVA=15,výpočty!AC169,
IF(BARVA=16,výpočty!AC169,výpočty!AC163)))))))</f>
        <v>9.7397399999999994</v>
      </c>
      <c r="AV43">
        <f>AT43*AR43</f>
        <v>0</v>
      </c>
      <c r="AY43" s="120">
        <f>CEILING(2*Titulní!$B$9/2500,1)</f>
        <v>1</v>
      </c>
      <c r="AZ43" s="50">
        <f>CEILING(2*Titulní!$B$11/2500,1)</f>
        <v>1</v>
      </c>
    </row>
    <row r="44" spans="1:56" ht="13.8" thickBot="1" x14ac:dyDescent="0.3">
      <c r="A44" s="67"/>
      <c r="B44" s="68" t="s">
        <v>335</v>
      </c>
      <c r="C44" s="70">
        <f>C68*$F$31</f>
        <v>6.2376800000000001</v>
      </c>
      <c r="D44" s="72"/>
      <c r="E44" s="72"/>
      <c r="F44" s="72"/>
      <c r="G44" s="72"/>
      <c r="H44" s="72"/>
      <c r="I44" s="72" t="s">
        <v>123</v>
      </c>
      <c r="J44" s="70">
        <f t="shared" si="8"/>
        <v>108.78563</v>
      </c>
      <c r="K44" s="74" t="s">
        <v>124</v>
      </c>
      <c r="L44" s="71">
        <f t="shared" si="12"/>
        <v>108.78563</v>
      </c>
      <c r="M44" s="70"/>
      <c r="N44" s="73"/>
      <c r="O44" s="69"/>
      <c r="R44" s="135" t="s">
        <v>396</v>
      </c>
      <c r="S44" s="23"/>
      <c r="Z44">
        <v>185</v>
      </c>
      <c r="AA44" s="90" t="s">
        <v>480</v>
      </c>
      <c r="AB44" s="179" t="str">
        <f t="shared" si="9"/>
        <v>Listwa maskująca dekor buk</v>
      </c>
      <c r="AC44" s="91">
        <f t="shared" si="10"/>
        <v>61.848480000000002</v>
      </c>
      <c r="AD44" s="91">
        <f t="shared" si="11"/>
        <v>61.848480000000002</v>
      </c>
      <c r="AE44" s="191" t="s">
        <v>166</v>
      </c>
      <c r="AF44" s="194">
        <f>Odečty!B11</f>
        <v>-26</v>
      </c>
      <c r="AG44" s="194">
        <f>Odečty!C11</f>
        <v>0</v>
      </c>
      <c r="AH44" s="194" t="str">
        <f>Odečty!D11</f>
        <v>-</v>
      </c>
      <c r="AI44" s="194">
        <f>Odečty!E11</f>
        <v>-24</v>
      </c>
      <c r="AJ44" s="194" t="str">
        <f>Odečty!F11</f>
        <v>-</v>
      </c>
      <c r="AK44" s="194">
        <v>1</v>
      </c>
      <c r="AL44" s="187"/>
      <c r="AM44" s="187"/>
      <c r="AN44" t="s">
        <v>379</v>
      </c>
      <c r="AO44" s="50" t="str">
        <f>IF(Titulní!$B$9&gt;1590,Překlady!$A$84,
IF(Titulní!$B$9&gt;1280,AB176,
IF(Titulní!$B$9&gt;670,AB172,AB174)))</f>
        <v>Ślimak rolety 8mm, dł.zwoju 670mm czar.</v>
      </c>
      <c r="AP44" s="50"/>
      <c r="AQ44" s="50" t="str">
        <f>IF(Titulní!$B$9&gt;1590,Překlady!$A$84,
IF(Titulní!$B$9&gt;1280,AA176,
IF(Titulní!$B$9&gt;670,AA172,AA174)))</f>
        <v>R95848</v>
      </c>
      <c r="AR44">
        <f>1*OBJ_KUSY</f>
        <v>0</v>
      </c>
      <c r="AS44" t="s">
        <v>372</v>
      </c>
      <c r="AT44">
        <f>IF(Titulní!$B$9&gt;1590,Překlady!$A$84,
IF(Titulní!$B$9&gt;1280,AC176,
IF(Titulní!$B$9&gt;670,AC172,AC174)))</f>
        <v>30.603929999999998</v>
      </c>
      <c r="AV44" s="50">
        <f>AT44*AR44</f>
        <v>0</v>
      </c>
    </row>
    <row r="45" spans="1:56" ht="13.8" thickBot="1" x14ac:dyDescent="0.3">
      <c r="A45" s="67"/>
      <c r="B45" s="72"/>
      <c r="C45" s="72"/>
      <c r="D45" s="72"/>
      <c r="E45" s="72"/>
      <c r="F45" s="72"/>
      <c r="G45" s="72"/>
      <c r="H45" s="72"/>
      <c r="I45" s="72" t="s">
        <v>335</v>
      </c>
      <c r="J45" s="72"/>
      <c r="K45" s="72"/>
      <c r="L45" s="71">
        <f t="shared" si="12"/>
        <v>27.88409</v>
      </c>
      <c r="M45" s="72"/>
      <c r="N45" s="73"/>
      <c r="O45" s="69"/>
      <c r="Q45">
        <v>10</v>
      </c>
      <c r="R45" s="134" t="s">
        <v>395</v>
      </c>
      <c r="S45" s="23">
        <v>1</v>
      </c>
      <c r="Z45">
        <v>185</v>
      </c>
      <c r="AA45" s="90" t="s">
        <v>481</v>
      </c>
      <c r="AB45" s="179" t="str">
        <f t="shared" si="9"/>
        <v>Listwa maskująca calvados</v>
      </c>
      <c r="AC45" s="91">
        <f t="shared" si="10"/>
        <v>48.943300000000001</v>
      </c>
      <c r="AD45" s="91">
        <f t="shared" si="11"/>
        <v>48.943300000000001</v>
      </c>
      <c r="AE45" s="191" t="s">
        <v>167</v>
      </c>
      <c r="AF45" s="194">
        <f>Odečty!B11</f>
        <v>-26</v>
      </c>
      <c r="AG45" s="194">
        <f>Odečty!C11</f>
        <v>0</v>
      </c>
      <c r="AH45" s="194" t="str">
        <f>Odečty!D11</f>
        <v>-</v>
      </c>
      <c r="AI45" s="194">
        <f>Odečty!E11</f>
        <v>-24</v>
      </c>
      <c r="AJ45" s="194" t="str">
        <f>Odečty!F11</f>
        <v>-</v>
      </c>
      <c r="AK45" s="194">
        <v>1</v>
      </c>
      <c r="AL45" s="187"/>
      <c r="AM45" s="187"/>
      <c r="AO45" s="120" t="str">
        <f>IF(Titulní!$B$11&gt;1590,Překlady!$A$84,IF(Titulní!$B$11&gt;1280,AB176,IF(Titulní!$B$11&gt;670,AB172,AB174)))</f>
        <v>Ślimak rolety 8mm, dł.zwoju 670mm czar.</v>
      </c>
      <c r="AP45" s="120"/>
      <c r="AQ45" s="120" t="str">
        <f>IF(Titulní!$B$11&gt;1590,Překlady!$A$84,
IF(Titulní!$B$11&gt;1280,AA176,
IF(Titulní!$B$11&gt;670,AA172,AA174)))</f>
        <v>R95848</v>
      </c>
      <c r="AR45">
        <f>1*OBJ_KUSY</f>
        <v>0</v>
      </c>
      <c r="AS45" t="s">
        <v>372</v>
      </c>
      <c r="AT45">
        <f>IF(Titulní!$B$11&gt;1590,Překlady!$A$84,
IF(Titulní!$B$11&gt;1280,AC176,
IF(Titulní!$B$11&gt;670,AC172,AC174)))</f>
        <v>30.603929999999998</v>
      </c>
      <c r="AV45" s="120">
        <f>AT45*AR44</f>
        <v>0</v>
      </c>
    </row>
    <row r="46" spans="1:56" x14ac:dyDescent="0.25">
      <c r="A46" s="67"/>
      <c r="B46" s="72"/>
      <c r="C46" s="617" t="s">
        <v>35</v>
      </c>
      <c r="D46" s="617"/>
      <c r="E46" s="617"/>
      <c r="F46" s="72"/>
      <c r="G46" s="617" t="s">
        <v>34</v>
      </c>
      <c r="H46" s="617"/>
      <c r="I46" s="617"/>
      <c r="J46" s="72"/>
      <c r="K46" s="72"/>
      <c r="L46" s="73"/>
      <c r="M46" s="72"/>
      <c r="N46" s="73"/>
      <c r="O46" s="69"/>
      <c r="R46" s="135" t="s">
        <v>396</v>
      </c>
      <c r="S46" s="23"/>
      <c r="Z46">
        <v>135</v>
      </c>
      <c r="AA46" s="90" t="s">
        <v>482</v>
      </c>
      <c r="AB46" s="179" t="str">
        <f t="shared" si="9"/>
        <v>Listwa maskująca uni czarna</v>
      </c>
      <c r="AC46" s="91">
        <f t="shared" si="10"/>
        <v>45.669879999999999</v>
      </c>
      <c r="AD46" s="91">
        <f t="shared" si="11"/>
        <v>45.669879999999999</v>
      </c>
      <c r="AE46" s="191" t="s">
        <v>168</v>
      </c>
      <c r="AF46" s="194">
        <f>Odečty!B11</f>
        <v>-26</v>
      </c>
      <c r="AG46" s="194">
        <f>Odečty!C11</f>
        <v>0</v>
      </c>
      <c r="AH46" s="194" t="str">
        <f>Odečty!D11</f>
        <v>-</v>
      </c>
      <c r="AI46" s="194">
        <f>Odečty!E11</f>
        <v>-24</v>
      </c>
      <c r="AJ46" s="194" t="str">
        <f>Odečty!F11</f>
        <v>-</v>
      </c>
      <c r="AK46" s="194">
        <v>1</v>
      </c>
      <c r="AL46" s="187"/>
      <c r="AM46" s="187"/>
      <c r="AO46" t="str">
        <f>IF(SMER=1,AO44,AO45)</f>
        <v>Ślimak rolety 8mm, dł.zwoju 670mm czar.</v>
      </c>
      <c r="AQ46" t="str">
        <f>IF(SMER=1,AQ44,AQ45)</f>
        <v>R95848</v>
      </c>
      <c r="AR46">
        <f>IF(SMER=1,AR44,AR45)</f>
        <v>0</v>
      </c>
      <c r="AS46" t="str">
        <f>IF(SMER=1,AS44,AS45)</f>
        <v>pár</v>
      </c>
      <c r="AT46">
        <f>IF(SMER=1,AT44,AT45)</f>
        <v>30.603929999999998</v>
      </c>
      <c r="AV46">
        <f>IF(SMER=1,AV44,AV45)</f>
        <v>0</v>
      </c>
    </row>
    <row r="47" spans="1:56" ht="13.8" thickBot="1" x14ac:dyDescent="0.3">
      <c r="A47" s="67" t="s">
        <v>15</v>
      </c>
      <c r="B47" s="72"/>
      <c r="C47" s="72" t="s">
        <v>46</v>
      </c>
      <c r="D47" s="72" t="s">
        <v>36</v>
      </c>
      <c r="E47" s="72" t="s">
        <v>55</v>
      </c>
      <c r="F47" s="72" t="s">
        <v>42</v>
      </c>
      <c r="G47" s="72" t="s">
        <v>46</v>
      </c>
      <c r="H47" s="72" t="s">
        <v>36</v>
      </c>
      <c r="I47" s="72" t="s">
        <v>55</v>
      </c>
      <c r="J47" s="72"/>
      <c r="K47" s="72"/>
      <c r="L47" s="72"/>
      <c r="M47" s="72"/>
      <c r="N47" s="72"/>
      <c r="O47" s="69"/>
      <c r="Q47">
        <v>11</v>
      </c>
      <c r="R47" s="134" t="s">
        <v>395</v>
      </c>
      <c r="S47" s="23">
        <v>1</v>
      </c>
      <c r="Z47">
        <v>185</v>
      </c>
      <c r="AA47" s="90" t="s">
        <v>483</v>
      </c>
      <c r="AB47" s="179" t="str">
        <f t="shared" si="9"/>
        <v>Listwa maskująca dekor alum. (plast.)</v>
      </c>
      <c r="AC47" s="91">
        <f t="shared" si="10"/>
        <v>61.848480000000002</v>
      </c>
      <c r="AD47" s="91">
        <f t="shared" si="11"/>
        <v>61.848480000000002</v>
      </c>
      <c r="AE47" s="191" t="s">
        <v>169</v>
      </c>
      <c r="AF47" s="194">
        <f>Odečty!B11</f>
        <v>-26</v>
      </c>
      <c r="AG47" s="194">
        <f>Odečty!C11</f>
        <v>0</v>
      </c>
      <c r="AH47" s="194" t="str">
        <f>Odečty!D11</f>
        <v>-</v>
      </c>
      <c r="AI47" s="194">
        <f>Odečty!E11</f>
        <v>-24</v>
      </c>
      <c r="AJ47" s="194" t="str">
        <f>Odečty!F11</f>
        <v>-</v>
      </c>
      <c r="AK47" s="194">
        <v>1</v>
      </c>
      <c r="AL47" s="187"/>
      <c r="AM47" s="187"/>
    </row>
    <row r="48" spans="1:56" x14ac:dyDescent="0.25">
      <c r="A48" s="67" t="s">
        <v>47</v>
      </c>
      <c r="B48" s="72"/>
      <c r="C48" s="70">
        <f t="shared" ref="C48:F49" si="13">C72*$F$31</f>
        <v>178.88355999999999</v>
      </c>
      <c r="D48" s="70">
        <f t="shared" si="13"/>
        <v>26.355560000000001</v>
      </c>
      <c r="E48" s="75">
        <f t="shared" si="13"/>
        <v>205.23911999999999</v>
      </c>
      <c r="F48" s="75" t="e">
        <f t="shared" si="13"/>
        <v>#N/A</v>
      </c>
      <c r="G48" s="70">
        <f t="shared" ref="G48:I49" si="14">G72*$F$31</f>
        <v>98.007369999999995</v>
      </c>
      <c r="H48" s="70">
        <f t="shared" si="14"/>
        <v>27.027149999999999</v>
      </c>
      <c r="I48" s="75">
        <f t="shared" si="14"/>
        <v>125.03451999999999</v>
      </c>
      <c r="J48" s="72"/>
      <c r="K48" s="72"/>
      <c r="L48" s="72"/>
      <c r="M48" s="72"/>
      <c r="N48" s="72"/>
      <c r="O48" s="69"/>
      <c r="R48" s="135" t="s">
        <v>396</v>
      </c>
      <c r="S48" s="23"/>
      <c r="Z48">
        <v>185</v>
      </c>
      <c r="AA48" s="90" t="s">
        <v>484</v>
      </c>
      <c r="AB48" s="179" t="str">
        <f t="shared" si="9"/>
        <v>Listwa maskująca dekor jawor</v>
      </c>
      <c r="AC48" s="91">
        <f t="shared" si="10"/>
        <v>61.848480000000002</v>
      </c>
      <c r="AD48" s="91">
        <f t="shared" si="11"/>
        <v>61.848480000000002</v>
      </c>
      <c r="AE48" s="191" t="s">
        <v>170</v>
      </c>
      <c r="AF48" s="194">
        <f>Odečty!B11</f>
        <v>-26</v>
      </c>
      <c r="AG48" s="194">
        <f>Odečty!C11</f>
        <v>0</v>
      </c>
      <c r="AH48" s="194" t="str">
        <f>Odečty!D11</f>
        <v>-</v>
      </c>
      <c r="AI48" s="194">
        <f>Odečty!E11</f>
        <v>-24</v>
      </c>
      <c r="AJ48" s="194" t="str">
        <f>Odečty!F11</f>
        <v>-</v>
      </c>
      <c r="AK48" s="194">
        <v>1</v>
      </c>
      <c r="AL48" s="187"/>
      <c r="AM48" s="187"/>
    </row>
    <row r="49" spans="1:57" ht="13.8" thickBot="1" x14ac:dyDescent="0.3">
      <c r="A49" s="67" t="s">
        <v>48</v>
      </c>
      <c r="B49" s="72"/>
      <c r="C49" s="70">
        <f t="shared" si="13"/>
        <v>178.88355999999999</v>
      </c>
      <c r="D49" s="70" t="e">
        <f t="shared" si="13"/>
        <v>#N/A</v>
      </c>
      <c r="E49" s="76" t="e">
        <f t="shared" si="13"/>
        <v>#N/A</v>
      </c>
      <c r="F49" s="72"/>
      <c r="G49" s="70">
        <f t="shared" si="14"/>
        <v>98.007369999999995</v>
      </c>
      <c r="H49" s="70" t="e">
        <f t="shared" si="14"/>
        <v>#N/A</v>
      </c>
      <c r="I49" s="76" t="e">
        <f t="shared" si="14"/>
        <v>#N/A</v>
      </c>
      <c r="J49" s="72"/>
      <c r="K49" s="72"/>
      <c r="L49" s="72"/>
      <c r="M49" s="72"/>
      <c r="N49" s="72"/>
      <c r="O49" s="69"/>
      <c r="Q49">
        <v>12</v>
      </c>
      <c r="R49" s="134" t="s">
        <v>395</v>
      </c>
      <c r="S49" s="23">
        <v>1</v>
      </c>
      <c r="Z49">
        <v>440</v>
      </c>
      <c r="AA49" s="90" t="s">
        <v>485</v>
      </c>
      <c r="AB49" s="179" t="str">
        <f t="shared" si="9"/>
        <v>Listwa maskująca z uskokiem ALU-dolna cz</v>
      </c>
      <c r="AC49" s="91">
        <f t="shared" si="10"/>
        <v>98.007369999999995</v>
      </c>
      <c r="AD49" s="91">
        <f t="shared" si="11"/>
        <v>98.007369999999995</v>
      </c>
      <c r="AE49" s="191" t="s">
        <v>171</v>
      </c>
      <c r="AF49" s="194" t="str">
        <f>Odečty!B12</f>
        <v>-</v>
      </c>
      <c r="AG49" s="194" t="str">
        <f>Odečty!C12</f>
        <v>-</v>
      </c>
      <c r="AH49" s="194">
        <f>Odečty!D12</f>
        <v>-24</v>
      </c>
      <c r="AI49" s="194" t="str">
        <f>Odečty!E12</f>
        <v>-</v>
      </c>
      <c r="AJ49" s="194">
        <f>Odečty!F12</f>
        <v>-25</v>
      </c>
      <c r="AK49" s="194">
        <v>1</v>
      </c>
      <c r="AL49" s="187"/>
      <c r="AM49" s="187"/>
      <c r="AO49" s="114" t="s">
        <v>382</v>
      </c>
      <c r="AP49" s="114"/>
      <c r="AT49" s="24"/>
      <c r="AU49" s="24"/>
    </row>
    <row r="50" spans="1:57" ht="13.8" thickBot="1" x14ac:dyDescent="0.3">
      <c r="A50" s="67"/>
      <c r="B50" s="68"/>
      <c r="C50" s="68"/>
      <c r="D50" s="68"/>
      <c r="E50" s="68"/>
      <c r="F50" s="68"/>
      <c r="G50" s="68"/>
      <c r="H50" s="68"/>
      <c r="I50" s="68"/>
      <c r="J50" s="68"/>
      <c r="K50" s="68"/>
      <c r="L50" s="68"/>
      <c r="M50" s="68"/>
      <c r="N50" s="68"/>
      <c r="O50" s="69"/>
      <c r="R50" s="135" t="s">
        <v>396</v>
      </c>
      <c r="S50" s="23"/>
      <c r="Z50">
        <v>135</v>
      </c>
      <c r="AA50" s="90" t="s">
        <v>486</v>
      </c>
      <c r="AB50" s="179" t="str">
        <f t="shared" si="9"/>
        <v>Listwa maskująca uni szara</v>
      </c>
      <c r="AC50" s="91">
        <f t="shared" si="10"/>
        <v>45.669879999999999</v>
      </c>
      <c r="AD50" s="91">
        <f t="shared" si="11"/>
        <v>45.669879999999999</v>
      </c>
      <c r="AE50" s="191" t="s">
        <v>172</v>
      </c>
      <c r="AF50" s="194">
        <f>Odečty!B11</f>
        <v>-26</v>
      </c>
      <c r="AG50" s="194">
        <f>Odečty!C11</f>
        <v>0</v>
      </c>
      <c r="AH50" s="194" t="str">
        <f>Odečty!D11</f>
        <v>-</v>
      </c>
      <c r="AI50" s="194">
        <f>Odečty!E11</f>
        <v>-24</v>
      </c>
      <c r="AJ50" s="194" t="str">
        <f>Odečty!F11</f>
        <v>-</v>
      </c>
      <c r="AK50" s="194">
        <v>1</v>
      </c>
      <c r="AL50" s="187"/>
      <c r="AM50" s="187"/>
      <c r="AO50" s="414" t="s">
        <v>358</v>
      </c>
      <c r="AP50" s="616"/>
      <c r="AQ50" s="44" t="s">
        <v>357</v>
      </c>
      <c r="AR50" s="43" t="s">
        <v>360</v>
      </c>
      <c r="AS50" s="44" t="s">
        <v>359</v>
      </c>
      <c r="AT50" s="414" t="s">
        <v>361</v>
      </c>
      <c r="AU50" s="422"/>
      <c r="AV50" s="44" t="s">
        <v>362</v>
      </c>
      <c r="AW50" s="40"/>
      <c r="AY50" s="17" t="s">
        <v>364</v>
      </c>
      <c r="AZ50" s="17" t="s">
        <v>365</v>
      </c>
      <c r="BA50" t="s">
        <v>366</v>
      </c>
    </row>
    <row r="51" spans="1:57" ht="13.8" thickBot="1" x14ac:dyDescent="0.3">
      <c r="A51" s="77"/>
      <c r="B51" s="78"/>
      <c r="C51" s="78"/>
      <c r="D51" s="78"/>
      <c r="E51" s="78"/>
      <c r="F51" s="78"/>
      <c r="G51" s="78"/>
      <c r="H51" s="78"/>
      <c r="I51" s="78"/>
      <c r="J51" s="78"/>
      <c r="K51" s="78"/>
      <c r="L51" s="78"/>
      <c r="M51" s="78"/>
      <c r="N51" s="78"/>
      <c r="O51" s="79"/>
      <c r="Q51">
        <v>13</v>
      </c>
      <c r="R51" s="134" t="s">
        <v>395</v>
      </c>
      <c r="S51" s="23">
        <v>1</v>
      </c>
      <c r="Z51">
        <v>185</v>
      </c>
      <c r="AA51" s="90" t="s">
        <v>487</v>
      </c>
      <c r="AB51" s="179" t="str">
        <f t="shared" si="9"/>
        <v>Listwa maskująca dekor czereśnia Havana</v>
      </c>
      <c r="AC51" s="91">
        <f t="shared" si="10"/>
        <v>48.943300000000001</v>
      </c>
      <c r="AD51" s="91">
        <f t="shared" si="11"/>
        <v>48.943300000000001</v>
      </c>
      <c r="AE51" s="191" t="s">
        <v>173</v>
      </c>
      <c r="AF51" s="194">
        <f>Odečty!B11</f>
        <v>-26</v>
      </c>
      <c r="AG51" s="194">
        <f>Odečty!C11</f>
        <v>0</v>
      </c>
      <c r="AH51" s="194" t="str">
        <f>Odečty!D11</f>
        <v>-</v>
      </c>
      <c r="AI51" s="194">
        <f>Odečty!E11</f>
        <v>-24</v>
      </c>
      <c r="AJ51" s="194" t="str">
        <f>Odečty!F11</f>
        <v>-</v>
      </c>
      <c r="AK51" s="194">
        <v>1</v>
      </c>
      <c r="AL51" s="187"/>
      <c r="AM51" s="187"/>
      <c r="AN51" t="s">
        <v>378</v>
      </c>
      <c r="AO51" t="str">
        <f>IF(výpočty!$AZ$51=0,AZ52,AZ51)</f>
        <v>Listwa tor. na wkręt czarna</v>
      </c>
      <c r="AQ51" t="str">
        <f>IF(výpočty!$S$22=0,AY52,AY51)</f>
        <v>R92823</v>
      </c>
      <c r="AR51">
        <f>IF(SMER=1,OBJ_KUSY*G10*2.5,OBJ_KUSY*G22*2.5)</f>
        <v>0</v>
      </c>
      <c r="AS51" t="s">
        <v>124</v>
      </c>
      <c r="AT51">
        <f>IF(výpočty!$S$22=0,BA52,BA51)</f>
        <v>20.510159999999999</v>
      </c>
      <c r="AV51">
        <f>AT51*AR51</f>
        <v>0</v>
      </c>
      <c r="AX51" s="31" t="s">
        <v>376</v>
      </c>
      <c r="AY51" s="116" t="str">
        <f>IF(BARVA=1,výpočty!AA161,
IF(BARVA=2,výpočty!AA159,
IF(BARVA=3,výpočty!AA170,
IF(BARVA=4,výpočty!AA170,
IF(BARVA=5,výpočty!AA164,
IF(BARVA=6,výpočty!AA168,
IF(BARVA=7,výpočty!AA166,
IF(BARVA=8,výpočty!AA154,0))))))))</f>
        <v>R92823</v>
      </c>
      <c r="AZ51" s="116" t="str">
        <f>IF(BARVA=1,výpočty!AB161,
IF(BARVA=2,výpočty!AB159,
IF(BARVA=3,výpočty!AB170,
IF(BARVA=4,výpočty!AB170,
IF(BARVA=5,výpočty!AB164,
IF(BARVA=6,výpočty!AB168,
IF(BARVA=7,výpočty!AB166,
IF(BARVA=8,výpočty!AB154,0))))))))</f>
        <v>Listwa tor. na wkręt czarna</v>
      </c>
      <c r="BA51" s="116">
        <f>IF(BARVA=1,výpočty!AC161,
IF(BARVA=2,výpočty!AC159,
IF(BARVA=3,výpočty!AC170,
IF(BARVA=4,výpočty!AC170,
IF(BARVA=5,výpočty!AC164,
IF(BARVA=6,výpočty!AC168,
IF(BARVA=7,výpočty!AC166,
IF(BARVA=8,výpočty!AC154,0))))))))</f>
        <v>20.510159999999999</v>
      </c>
    </row>
    <row r="52" spans="1:57" x14ac:dyDescent="0.25">
      <c r="R52" s="135" t="s">
        <v>396</v>
      </c>
      <c r="S52" s="23"/>
      <c r="Z52">
        <v>185</v>
      </c>
      <c r="AA52" s="90" t="s">
        <v>488</v>
      </c>
      <c r="AB52" s="179" t="str">
        <f t="shared" si="9"/>
        <v>Listwa maskująca dekor czereśnia</v>
      </c>
      <c r="AC52" s="91">
        <f t="shared" si="10"/>
        <v>61.848480000000002</v>
      </c>
      <c r="AD52" s="91">
        <f t="shared" si="11"/>
        <v>61.848480000000002</v>
      </c>
      <c r="AE52" s="191" t="s">
        <v>174</v>
      </c>
      <c r="AF52" s="194">
        <f>Odečty!B11</f>
        <v>-26</v>
      </c>
      <c r="AG52" s="194">
        <f>Odečty!C11</f>
        <v>0</v>
      </c>
      <c r="AH52" s="194" t="str">
        <f>Odečty!D11</f>
        <v>-</v>
      </c>
      <c r="AI52" s="194">
        <f>Odečty!E11</f>
        <v>-24</v>
      </c>
      <c r="AJ52" s="194" t="str">
        <f>Odečty!F11</f>
        <v>-</v>
      </c>
      <c r="AK52" s="194">
        <v>1</v>
      </c>
      <c r="AL52" s="187"/>
      <c r="AM52" s="187"/>
      <c r="AN52" s="121"/>
      <c r="AO52" s="121" t="str">
        <f>IF(VEDENI=3,AB162,
IF(VEDENI=4,AB171,
IF(VEDENI=5,IF(BARVA=16,AB156,AB155)," ")))</f>
        <v>Listwa tor.Frame-dol.część, ALU 230L</v>
      </c>
      <c r="AP52" s="121"/>
      <c r="AQ52" s="121" t="str">
        <f>IF(VEDENI=3,AA162,
IF(VEDENI=4,AA171,
IF(VEDENI=5,
IF(BARVA=16,AA156,AA155)," ")))</f>
        <v>R95818</v>
      </c>
      <c r="AR52" s="121">
        <f>IF(SMER=1,IF($T$3&gt;4,OBJ_KUSY*G16,OBJ_KUSY*G15),OBJ_KUSY*G27)</f>
        <v>0</v>
      </c>
      <c r="AS52" s="121" t="s">
        <v>124</v>
      </c>
      <c r="AT52" s="121">
        <f>IF(VEDENI=3,AC162,
IF(VEDENI=4,AC171,
IF(VEDENI=5,
IF(BARVA=16,AC156,AC155)," ")))</f>
        <v>108.78563</v>
      </c>
      <c r="AU52" s="121"/>
      <c r="AV52" s="121">
        <f>IF(VEDENI=3,AT52*AR52,IF(VEDENI=4,AT52*AR52,IF(VEDENI=5,AT52*AR52," ")))</f>
        <v>0</v>
      </c>
      <c r="AW52" s="121"/>
      <c r="AX52" s="121"/>
      <c r="AY52" s="138" t="str">
        <f>IF(BARVA=9,výpočty!AA167,
IF(BARVA=10,výpočty!AA165,
IF(BARVA=12,AA158,
IF(BARVA=15,výpočty!AA170,výpočty!AA157))))</f>
        <v>R77089</v>
      </c>
      <c r="AZ52" s="139" t="str">
        <f>IF(BARVA=9,výpočty!AB167,
IF(BARVA=10,výpočty!AB165,
IF(BARVA=12,AB158,
IF(BARVA=15,výpočty!AB170,výpočty!AB157))))</f>
        <v>Listwa tor. na wkręt ciem. szara(al.)</v>
      </c>
      <c r="BA52" s="139">
        <f>IF(BARVA=9,výpočty!AC167,
IF(BARVA=10,výpočty!AC165,
IF(BARVA=12,AC158,
IF(BARVA=15,výpočty!AC170,výpočty!AC157))))</f>
        <v>20.510159999999999</v>
      </c>
    </row>
    <row r="53" spans="1:57" x14ac:dyDescent="0.25">
      <c r="Q53">
        <v>14</v>
      </c>
      <c r="R53" s="134" t="s">
        <v>395</v>
      </c>
      <c r="S53">
        <v>1</v>
      </c>
      <c r="Z53">
        <v>70</v>
      </c>
      <c r="AA53" s="90" t="s">
        <v>489</v>
      </c>
      <c r="AB53" s="179" t="str">
        <f t="shared" si="9"/>
        <v>Profil kryjący Frame szary</v>
      </c>
      <c r="AC53" s="91">
        <f t="shared" si="10"/>
        <v>23.981380000000001</v>
      </c>
      <c r="AD53" s="91">
        <f t="shared" si="11"/>
        <v>23.981380000000001</v>
      </c>
      <c r="AE53" s="191" t="s">
        <v>175</v>
      </c>
      <c r="AF53" s="194" t="s">
        <v>1308</v>
      </c>
      <c r="AG53" s="194"/>
      <c r="AH53" s="194">
        <f>Odečty!$D$14</f>
        <v>24</v>
      </c>
      <c r="AI53" s="194"/>
      <c r="AJ53" s="194"/>
      <c r="AK53" s="194">
        <v>2</v>
      </c>
      <c r="AL53" s="187"/>
      <c r="AM53" s="187"/>
      <c r="AO53" t="str">
        <f>IF(VEDENI=3,
IF(výpočty!$AZ$53=0,AZ54,AZ53),
IF(VEDENI=4,
IF(výpočty!$AZ$55=0,AZ56,AZ55)," "))</f>
        <v>Profil kryjący Frame czar.</v>
      </c>
      <c r="AQ53" t="str">
        <f>IF(VEDENI=3,IF(výpočty!$S$22=0,AY54,AY53),IF(VEDENI=4,IF(výpočty!$S$22=0,AY56,AY55)," "))</f>
        <v>R95832</v>
      </c>
      <c r="AR53">
        <f>IF(VEDENI&lt;3," ",IF(VEDENI=5," ",IF(SMER=1,OBJ_KUSY*G14*2.5,OBJ_KUSY*G26*2.5)))</f>
        <v>0</v>
      </c>
      <c r="AS53" t="s">
        <v>124</v>
      </c>
      <c r="AT53">
        <f>IF(VEDENI=3,IF(výpočty!$S$22=0,BA54,BA53),IF(VEDENI=4,IF(výpočty!$S$22=0,BA56,BA55)," "))</f>
        <v>23.981380000000001</v>
      </c>
      <c r="AV53">
        <f>IF(VEDENI=3,IF(výpočty!$S$22=0,AT53*AR53,AT53*AR53),IF(VEDENI=4,IF(výpočty!$S$22=0,AT53*AR53,AT53*AR53)," "))</f>
        <v>0</v>
      </c>
      <c r="AX53" t="s">
        <v>384</v>
      </c>
      <c r="AY53" s="137" t="str">
        <f>IF(BARVA=1,výpočty!AA57,
IF(BARVA=2,výpočty!AA54,
IF(BARVA=3,výpočty!AA53,
IF(BARVA=4,výpočty!AA59,
IF(BARVA=5,výpočty!AA56,
IF(BARVA=6,výpočty!AA61,
IF(BARVA=7,výpočty!AA60,
IF(BARVA=8,výpočty!AA55,0))))))))</f>
        <v>R95832</v>
      </c>
      <c r="AZ53" s="137" t="str">
        <f>IF(BARVA=1,výpočty!AB57,
IF(BARVA=2,výpočty!AB54,
IF(BARVA=3,výpočty!AB53,
IF(BARVA=4,výpočty!AB59,
IF(BARVA=5,výpočty!AB56,
IF(BARVA=6,výpočty!AB61,
IF(BARVA=7,výpočty!AB60,
IF(BARVA=8,výpočty!AB55,0))))))))</f>
        <v>Profil kryjący Frame czar.</v>
      </c>
      <c r="BA53" s="137">
        <f>IF(BARVA=1,výpočty!AC57,
IF(BARVA=2,výpočty!AC54,
IF(BARVA=3,výpočty!AC53,
IF(BARVA=4,výpočty!AC59,
IF(BARVA=5,výpočty!AC56,
IF(BARVA=6,výpočty!AC61,
IF(BARVA=7,výpočty!AC60,
IF(BARVA=8,výpočty!AC55,0))))))))</f>
        <v>23.981380000000001</v>
      </c>
      <c r="BB53" t="s">
        <v>386</v>
      </c>
      <c r="BC53" s="126" t="str">
        <f>IF(BARVA=1,výpočty!AA191,
IF(BARVA=2,výpočty!AA188,
IF(BARVA=3,výpočty!AA194,
IF(BARVA=4,výpočty!AA195,
IF(BARVA=5,výpočty!AA190,
IF(BARVA=6,výpočty!AA196,
IF(BARVA=7,výpočty!AA193,
IF(BARVA=8,výpočty!AA189,0))))))))</f>
        <v>R95840</v>
      </c>
      <c r="BD53" s="126" t="str">
        <f>IF(BARVA=1,výpočty!AB191,IF(BARVA=2,výpočty!AB188,IF(BARVA=3,výpočty!AB194,IF(BARVA=4,výpočty!AB195,IF(BARVA=5,výpočty!AB190,IF(BARVA=6,výpočty!AB196,IF(BARVA=7,výpočty!AB193,IF(BARVA=8,výpočty!AB189,0))))))))</f>
        <v>Zaślepka Frame czarna</v>
      </c>
      <c r="BE53" s="126">
        <f>IF(BARVA=1,výpočty!AC191,IF(BARVA=2,výpočty!AC188,IF(BARVA=3,výpočty!AC194,IF(BARVA=4,výpočty!AC195,IF(BARVA=5,výpočty!AC190,IF(BARVA=6,výpočty!AC196,IF(BARVA=7,výpočty!AC193,IF(BARVA=8,výpočty!AC189,0))))))))</f>
        <v>27.88409</v>
      </c>
    </row>
    <row r="54" spans="1:57" ht="13.8" thickBot="1" x14ac:dyDescent="0.3">
      <c r="R54" s="135" t="s">
        <v>396</v>
      </c>
      <c r="S54">
        <v>1</v>
      </c>
      <c r="Z54">
        <v>70</v>
      </c>
      <c r="AA54" s="90" t="s">
        <v>490</v>
      </c>
      <c r="AB54" s="179" t="str">
        <f t="shared" si="9"/>
        <v>Profil kryjący Frame biały</v>
      </c>
      <c r="AC54" s="91">
        <f t="shared" si="10"/>
        <v>23.981380000000001</v>
      </c>
      <c r="AD54" s="91">
        <f t="shared" si="11"/>
        <v>23.981380000000001</v>
      </c>
      <c r="AE54" s="191" t="s">
        <v>176</v>
      </c>
      <c r="AF54" s="194" t="s">
        <v>1308</v>
      </c>
      <c r="AG54" s="194"/>
      <c r="AH54" s="194">
        <f>Odečty!$D$14</f>
        <v>24</v>
      </c>
      <c r="AI54" s="194"/>
      <c r="AJ54" s="194"/>
      <c r="AK54" s="194">
        <v>2</v>
      </c>
      <c r="AL54" s="187"/>
      <c r="AM54" s="187"/>
      <c r="AO54" t="str">
        <f>IF(VEDENI=3,
IF(výpočty!$BD$53=0,BD54,BD53),
IF(VEDENI=3,výpočty!AB198,
IF(VEDENI=5,BD55," ")))</f>
        <v>Zaślepka Frame czarna</v>
      </c>
      <c r="AQ54" t="str">
        <f>IF(VEDENI=3,
IF(výpočty!$BC$53=0,BC54,BC53),
IF(VEDENI=3,výpočty!AA198,
IF(VEDENI=5,BC55," ")))</f>
        <v>R95840</v>
      </c>
      <c r="AR54">
        <f>IF(VEDENI=3,1*OBJ_KUSY,IF(VEDENI=5,2*OBJ_KUSY," "))</f>
        <v>0</v>
      </c>
      <c r="AT54">
        <f>IF(VEDENI=3,IF(výpočty!$BE$53=0,BE54,BE53),IF(VEDENI=3,výpočty!AC198,IF(VEDENI=5,BE55," ")))</f>
        <v>27.88409</v>
      </c>
      <c r="AV54">
        <f>IF(VEDENI=3,AT54*AR54,IF(VEDENI=5,AT54*AR54," "))</f>
        <v>0</v>
      </c>
      <c r="AY54" s="123" t="str">
        <f>IF(BARVA=15,výpočty!AA58,
IF(BARVA=16,výpočty!AA233," "))</f>
        <v xml:space="preserve"> </v>
      </c>
      <c r="AZ54" s="123" t="str">
        <f>IF(BARVA=9," ",
IF(BARVA=10," ",
IF(BARVA=12," ",
IF(BARVA=15,výpočty!AB58,
IF(BARVA=16,výpočty!AB233," ")))))</f>
        <v xml:space="preserve"> </v>
      </c>
      <c r="BA54" s="123" t="str">
        <f>IF(BARVA=9," ",
IF(BARVA=10," ",
IF(BARVA=12," ",
IF(BARVA=15,výpočty!AC58,
IF(BARVA=16,výpočty!AC233," ")))))</f>
        <v xml:space="preserve"> </v>
      </c>
      <c r="BB54" t="s">
        <v>4</v>
      </c>
      <c r="BC54" s="126" t="str">
        <f>IF(BARVA&gt;14,výpočty!AA195," ")</f>
        <v xml:space="preserve"> </v>
      </c>
      <c r="BD54" s="126" t="str">
        <f>IF(BARVA&gt;14,výpočty!AB195," ")</f>
        <v xml:space="preserve"> </v>
      </c>
      <c r="BE54" s="126" t="str">
        <f>IF(BARVA&gt;14,výpočty!AC195," ")</f>
        <v xml:space="preserve"> </v>
      </c>
    </row>
    <row r="55" spans="1:57" ht="17.399999999999999" x14ac:dyDescent="0.3">
      <c r="A55" s="62" t="s">
        <v>58</v>
      </c>
      <c r="B55" s="63"/>
      <c r="C55" s="63"/>
      <c r="D55" s="64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6"/>
      <c r="Q55">
        <v>15</v>
      </c>
      <c r="R55" s="134" t="s">
        <v>395</v>
      </c>
      <c r="S55">
        <v>1</v>
      </c>
      <c r="Z55">
        <v>165</v>
      </c>
      <c r="AA55" s="90" t="s">
        <v>491</v>
      </c>
      <c r="AB55" s="179" t="str">
        <f t="shared" si="9"/>
        <v>Profil kryjący Frame brzoza</v>
      </c>
      <c r="AC55" s="91" t="e">
        <f t="shared" si="10"/>
        <v>#N/A</v>
      </c>
      <c r="AD55" s="91" t="e">
        <f t="shared" si="11"/>
        <v>#N/A</v>
      </c>
      <c r="AE55" s="191" t="s">
        <v>177</v>
      </c>
      <c r="AF55" s="194" t="s">
        <v>1308</v>
      </c>
      <c r="AG55" s="194"/>
      <c r="AH55" s="194">
        <f>Odečty!$D$14</f>
        <v>24</v>
      </c>
      <c r="AI55" s="194"/>
      <c r="AJ55" s="194"/>
      <c r="AK55" s="194">
        <v>2</v>
      </c>
      <c r="AL55" s="187"/>
      <c r="AM55" s="187"/>
      <c r="AN55" t="s">
        <v>379</v>
      </c>
      <c r="AO55" t="str">
        <f>IF(SMER=1,IF(Titulní!$B$9&gt;1240,Překlady!$A$84,AB177),IF(Titulní!$B$11&gt;1240,Překlady!$A$84,AB177))</f>
        <v>Ślimak rolety Top/Frame, dł.zwoju 1240mm</v>
      </c>
      <c r="AQ55" t="str">
        <f>IF(SMER=1,IF(Titulní!$B$9&gt;1240,Překlady!$A$84,AA177),IF(Titulní!$B$11&gt;1240,Překlady!$A$84,AA177))</f>
        <v>R95831</v>
      </c>
      <c r="AR55">
        <f>1*OBJ_KUSY</f>
        <v>0</v>
      </c>
      <c r="AS55" t="s">
        <v>372</v>
      </c>
      <c r="AT55">
        <f>IF(SMER=1,IF(Titulní!$B$9&gt;1240,Překlady!$A$84,AC177),IF(Titulní!$B$11&gt;1240,Překlady!$A$84,AC177))</f>
        <v>39.811579999999999</v>
      </c>
      <c r="AV55">
        <f>AT55*AR55</f>
        <v>0</v>
      </c>
      <c r="AX55" t="s">
        <v>385</v>
      </c>
      <c r="AY55" s="124" t="str">
        <f>IF(BARVA=1,výpočty!AA67,
IF(BARVA=2,výpočty!AA63,
IF(BARVA=3,výpočty!AA71,
IF(BARVA=4,výpočty!AA69,
IF(BARVA=5,výpočty!AA65,
IF(BARVA=6,výpočty!AA72,
IF(BARVA=7,výpočty!AA70,
IF(BARVA=8,výpočty!AA64,0))))))))</f>
        <v>R95821</v>
      </c>
      <c r="AZ55" s="124" t="str">
        <f>IF(BARVA=1,výpočty!AB67,
IF(BARVA=2,výpočty!AB63,
IF(BARVA=3,výpočty!AB71,
IF(BARVA=4,výpočty!AB69,
IF(BARVA=5,výpočty!AB65,
IF(BARVA=6,výpočty!AB72,
IF(BARVA=7,výpočty!AB70,
IF(BARVA=8,výpočty!AB64,0))))))))</f>
        <v>Profil kryjący Top czarny</v>
      </c>
      <c r="BA55" s="124">
        <f>IF(BARVA=1,výpočty!AC67,
IF(BARVA=2,výpočty!AC63,
IF(BARVA=3,výpočty!AC71,
IF(BARVA=4,výpočty!AC69,
IF(BARVA=5,výpočty!AC65,
IF(BARVA=6,výpočty!AC72,
IF(BARVA=7,výpočty!AC70,
IF(BARVA=8,výpočty!AC64,0))))))))</f>
        <v>18.595009999999998</v>
      </c>
      <c r="BB55" t="s">
        <v>386</v>
      </c>
      <c r="BC55" s="126" t="str">
        <f>IF(BARVA=15,AA197,výpočty!AA198)</f>
        <v>R00056</v>
      </c>
      <c r="BD55" s="126" t="str">
        <f>IF(BARVA=15,výpočty!AB197,výpočty!AB198)</f>
        <v>Zaślepka do toru pionow. R92846 lewa</v>
      </c>
      <c r="BE55" s="126">
        <f>IF(BARVA&lt;13,výpočty!AC197,výpočty!AC198)</f>
        <v>3.1188400000000001</v>
      </c>
    </row>
    <row r="56" spans="1:57" ht="13.8" thickBot="1" x14ac:dyDescent="0.3">
      <c r="A56" s="67"/>
      <c r="B56" s="68" t="s">
        <v>28</v>
      </c>
      <c r="C56" s="68" t="s">
        <v>44</v>
      </c>
      <c r="D56" s="68" t="s">
        <v>35</v>
      </c>
      <c r="E56" s="68" t="s">
        <v>42</v>
      </c>
      <c r="F56" s="68" t="s">
        <v>84</v>
      </c>
      <c r="G56" s="68" t="s">
        <v>34</v>
      </c>
      <c r="H56" s="68"/>
      <c r="I56" s="68"/>
      <c r="J56" s="68" t="s">
        <v>32</v>
      </c>
      <c r="K56" s="68" t="s">
        <v>36</v>
      </c>
      <c r="L56" s="68" t="s">
        <v>43</v>
      </c>
      <c r="M56" s="68"/>
      <c r="N56" s="68" t="s">
        <v>37</v>
      </c>
      <c r="O56" s="69"/>
      <c r="R56" s="135" t="s">
        <v>396</v>
      </c>
      <c r="S56">
        <v>1</v>
      </c>
      <c r="Z56">
        <v>165</v>
      </c>
      <c r="AA56" s="90" t="s">
        <v>492</v>
      </c>
      <c r="AB56" s="179" t="e">
        <f t="shared" si="9"/>
        <v>#N/A</v>
      </c>
      <c r="AC56" s="91" t="e">
        <f t="shared" si="10"/>
        <v>#N/A</v>
      </c>
      <c r="AD56" s="91" t="e">
        <f t="shared" si="11"/>
        <v>#N/A</v>
      </c>
      <c r="AE56" s="191" t="s">
        <v>178</v>
      </c>
      <c r="AF56" s="194" t="s">
        <v>1308</v>
      </c>
      <c r="AG56" s="194"/>
      <c r="AH56" s="194">
        <f>Odečty!$D$14</f>
        <v>24</v>
      </c>
      <c r="AI56" s="194"/>
      <c r="AJ56" s="194"/>
      <c r="AK56" s="194">
        <v>2</v>
      </c>
      <c r="AL56" s="187"/>
      <c r="AM56" s="187"/>
      <c r="AN56" t="s">
        <v>387</v>
      </c>
      <c r="AO56" t="str">
        <f>AB211</f>
        <v>Róg list.tor. 90 °  Top/Frame</v>
      </c>
      <c r="AQ56" t="str">
        <f>AA211</f>
        <v>R95799</v>
      </c>
      <c r="AR56">
        <f>IF(T9=1,4*OBJ_KUSY,0)</f>
        <v>0</v>
      </c>
      <c r="AT56">
        <f>AC211</f>
        <v>6.6591399999999998</v>
      </c>
      <c r="AV56">
        <f>AT56*AR56</f>
        <v>0</v>
      </c>
      <c r="AY56" s="125" t="str">
        <f>IF(BARVA=9,výpočty!AA222,
IF(BARVA=10,výpočty!AA223,
IF(BARVA=12,AA209,
IF(BARVA=16,výpočty!AA224,
IF(BARVA=15,výpočty!AA68,Překlady!$A$84)))))</f>
        <v>nie można</v>
      </c>
      <c r="AZ56" s="125" t="str">
        <f>IF(BARVA=9,výpočty!AB222,
IF(BARVA=10,výpočty!AB223,
IF(BARVA=12,AB209,
IF(BARVA=16,výpočty!AB224,
IF(BARVA=15,výpočty!AB68,Překlady!$A$84)))))</f>
        <v>nie można</v>
      </c>
      <c r="BA56" s="125">
        <f>IF(BARVA=9,výpočty!AC222,
IF(BARVA=10,výpočty!AC223,
IF(BARVA=12,AC209,
IF(BARVA=16,výpočty!AC224,
IF(BARVA=15,výpočty!AC68,0)))))</f>
        <v>0</v>
      </c>
      <c r="BB56" t="s">
        <v>380</v>
      </c>
    </row>
    <row r="57" spans="1:57" x14ac:dyDescent="0.25">
      <c r="A57" s="67" t="s">
        <v>26</v>
      </c>
      <c r="B57" s="80">
        <f>AD113</f>
        <v>21.09207</v>
      </c>
      <c r="C57" s="81">
        <f>B57*2.5</f>
        <v>52.730175000000003</v>
      </c>
      <c r="D57" s="81">
        <f>AD27</f>
        <v>80.561509999999998</v>
      </c>
      <c r="E57" s="81">
        <f>AD19</f>
        <v>8.5023300000000006</v>
      </c>
      <c r="F57" s="82">
        <f>AD12</f>
        <v>0.60260999999999998</v>
      </c>
      <c r="G57" s="81">
        <f>AD43</f>
        <v>61.848480000000002</v>
      </c>
      <c r="H57" s="68"/>
      <c r="I57" s="68" t="s">
        <v>33</v>
      </c>
      <c r="J57" s="68">
        <f>AD157</f>
        <v>20.510159999999999</v>
      </c>
      <c r="K57" s="68"/>
      <c r="L57" s="81">
        <f t="shared" ref="L57:L67" si="15">2.5*(K57+J57)</f>
        <v>51.275399999999998</v>
      </c>
      <c r="M57" s="68"/>
      <c r="N57" s="81">
        <f>AD127</f>
        <v>5.8428699999999996</v>
      </c>
      <c r="O57" s="69"/>
      <c r="R57" s="134" t="s">
        <v>395</v>
      </c>
      <c r="Z57">
        <v>70</v>
      </c>
      <c r="AA57" s="90" t="s">
        <v>493</v>
      </c>
      <c r="AB57" s="179" t="str">
        <f t="shared" si="9"/>
        <v>Profil kryjący Frame czar.</v>
      </c>
      <c r="AC57" s="91">
        <f t="shared" si="10"/>
        <v>23.981380000000001</v>
      </c>
      <c r="AD57" s="91">
        <f t="shared" si="11"/>
        <v>23.981380000000001</v>
      </c>
      <c r="AE57" s="191" t="s">
        <v>179</v>
      </c>
      <c r="AF57" s="194" t="s">
        <v>1308</v>
      </c>
      <c r="AG57" s="194"/>
      <c r="AH57" s="194">
        <f>Odečty!$D$14</f>
        <v>24</v>
      </c>
      <c r="AI57" s="194"/>
      <c r="AJ57" s="194"/>
      <c r="AK57" s="194">
        <v>2</v>
      </c>
      <c r="AL57" s="187"/>
      <c r="AM57" s="187"/>
    </row>
    <row r="58" spans="1:57" x14ac:dyDescent="0.25">
      <c r="A58" s="67" t="s">
        <v>27</v>
      </c>
      <c r="B58" s="80">
        <f>AD116</f>
        <v>19.28388</v>
      </c>
      <c r="C58" s="83">
        <f>B58*2.5</f>
        <v>48.209699999999998</v>
      </c>
      <c r="D58" s="83">
        <f>AD30</f>
        <v>69.139859999999999</v>
      </c>
      <c r="E58" s="146">
        <f>AD16</f>
        <v>18.350619999999999</v>
      </c>
      <c r="F58" s="147" t="s">
        <v>408</v>
      </c>
      <c r="G58" s="83">
        <f>AD46</f>
        <v>45.669879999999999</v>
      </c>
      <c r="H58" s="68"/>
      <c r="I58" s="68" t="s">
        <v>13</v>
      </c>
      <c r="J58" s="68">
        <f>AD160</f>
        <v>9.7397399999999994</v>
      </c>
      <c r="K58" s="68"/>
      <c r="L58" s="83">
        <f t="shared" si="15"/>
        <v>24.349349999999998</v>
      </c>
      <c r="M58" s="68"/>
      <c r="N58" s="83">
        <f>AD125</f>
        <v>5.2317799999999997</v>
      </c>
      <c r="O58" s="69"/>
      <c r="R58" s="135" t="s">
        <v>396</v>
      </c>
      <c r="S58">
        <v>1</v>
      </c>
      <c r="Z58">
        <v>195</v>
      </c>
      <c r="AA58" s="90" t="s">
        <v>494</v>
      </c>
      <c r="AB58" s="179" t="str">
        <f t="shared" si="9"/>
        <v>Profil kryjący Frame ALU 230L</v>
      </c>
      <c r="AC58" s="91">
        <f t="shared" si="10"/>
        <v>65.023520000000005</v>
      </c>
      <c r="AD58" s="91">
        <f t="shared" si="11"/>
        <v>65.023520000000005</v>
      </c>
      <c r="AE58" s="191" t="s">
        <v>180</v>
      </c>
      <c r="AF58" s="194" t="s">
        <v>1308</v>
      </c>
      <c r="AG58" s="194"/>
      <c r="AH58" s="194">
        <f>Odečty!$D$14</f>
        <v>24</v>
      </c>
      <c r="AI58" s="194"/>
      <c r="AJ58" s="194"/>
      <c r="AK58" s="194">
        <v>2</v>
      </c>
      <c r="AL58" s="187"/>
      <c r="AM58" s="187"/>
    </row>
    <row r="59" spans="1:57" x14ac:dyDescent="0.25">
      <c r="A59" s="67" t="s">
        <v>30</v>
      </c>
      <c r="B59" s="80">
        <f>AD91</f>
        <v>19.759789999999999</v>
      </c>
      <c r="C59" s="83">
        <f>B59*2.5</f>
        <v>49.399474999999995</v>
      </c>
      <c r="D59" s="83">
        <f>AD23</f>
        <v>165.55967000000001</v>
      </c>
      <c r="E59" s="83">
        <f>AD7</f>
        <v>9.7358899999999995</v>
      </c>
      <c r="F59" s="82"/>
      <c r="G59" s="83">
        <f>AD40</f>
        <v>114.81813</v>
      </c>
      <c r="H59" s="68"/>
      <c r="I59" s="68" t="s">
        <v>38</v>
      </c>
      <c r="J59" s="68">
        <v>0</v>
      </c>
      <c r="K59" s="68">
        <f>AD64</f>
        <v>24.326920000000001</v>
      </c>
      <c r="L59" s="83">
        <f t="shared" si="15"/>
        <v>60.817300000000003</v>
      </c>
      <c r="M59" s="68"/>
      <c r="N59" s="83">
        <f>AD211</f>
        <v>6.6591399999999998</v>
      </c>
      <c r="O59" s="69"/>
      <c r="R59" s="134" t="s">
        <v>395</v>
      </c>
      <c r="Z59">
        <v>165</v>
      </c>
      <c r="AA59" s="90" t="s">
        <v>495</v>
      </c>
      <c r="AB59" s="179" t="str">
        <f t="shared" si="9"/>
        <v>Profil kryjący Frame al.(plast)</v>
      </c>
      <c r="AC59" s="91">
        <f t="shared" si="10"/>
        <v>66.605469999999997</v>
      </c>
      <c r="AD59" s="91">
        <f t="shared" si="11"/>
        <v>66.605469999999997</v>
      </c>
      <c r="AE59" s="191" t="s">
        <v>181</v>
      </c>
      <c r="AF59" s="194" t="s">
        <v>1308</v>
      </c>
      <c r="AG59" s="194"/>
      <c r="AH59" s="194">
        <f>Odečty!$D$14</f>
        <v>24</v>
      </c>
      <c r="AI59" s="194"/>
      <c r="AJ59" s="194"/>
      <c r="AK59" s="194">
        <v>2</v>
      </c>
      <c r="AL59" s="187"/>
      <c r="AM59" s="187"/>
    </row>
    <row r="60" spans="1:57" ht="13.8" thickBot="1" x14ac:dyDescent="0.3">
      <c r="A60" s="67" t="s">
        <v>31</v>
      </c>
      <c r="B60" s="80">
        <f>AD92</f>
        <v>20.679410000000001</v>
      </c>
      <c r="C60" s="84">
        <f>B60*2.5</f>
        <v>51.698525000000004</v>
      </c>
      <c r="D60" s="84">
        <f>AD25</f>
        <v>224.55905000000001</v>
      </c>
      <c r="E60" s="84">
        <f>AD7</f>
        <v>9.7358899999999995</v>
      </c>
      <c r="F60" s="82"/>
      <c r="G60" s="84">
        <f>AD41</f>
        <v>255.91313</v>
      </c>
      <c r="H60" s="68"/>
      <c r="I60" s="68" t="s">
        <v>39</v>
      </c>
      <c r="J60" s="68">
        <v>0</v>
      </c>
      <c r="K60" s="68">
        <f>AD63</f>
        <v>18.595009999999998</v>
      </c>
      <c r="L60" s="83">
        <f t="shared" si="15"/>
        <v>46.487524999999998</v>
      </c>
      <c r="M60" s="68"/>
      <c r="N60" s="83">
        <f>AD211</f>
        <v>6.6591399999999998</v>
      </c>
      <c r="O60" s="69"/>
      <c r="R60" s="135" t="s">
        <v>396</v>
      </c>
      <c r="S60">
        <v>1</v>
      </c>
      <c r="Z60">
        <v>165</v>
      </c>
      <c r="AA60" s="90" t="s">
        <v>496</v>
      </c>
      <c r="AB60" s="179" t="str">
        <f t="shared" si="9"/>
        <v>Profil kryjący Frame jawor</v>
      </c>
      <c r="AC60" s="91" t="e">
        <f t="shared" si="10"/>
        <v>#N/A</v>
      </c>
      <c r="AD60" s="91" t="e">
        <f t="shared" si="11"/>
        <v>#N/A</v>
      </c>
      <c r="AE60" s="191" t="s">
        <v>182</v>
      </c>
      <c r="AF60" s="194" t="s">
        <v>1308</v>
      </c>
      <c r="AG60" s="194"/>
      <c r="AH60" s="194">
        <f>Odečty!$D$14</f>
        <v>24</v>
      </c>
      <c r="AI60" s="194"/>
      <c r="AJ60" s="194"/>
      <c r="AK60" s="194">
        <v>2</v>
      </c>
      <c r="AL60" s="187"/>
      <c r="AM60" s="187"/>
    </row>
    <row r="61" spans="1:57" x14ac:dyDescent="0.25">
      <c r="A61" s="67"/>
      <c r="B61" s="80"/>
      <c r="C61" s="82"/>
      <c r="D61" s="82"/>
      <c r="E61" s="82"/>
      <c r="F61" s="82"/>
      <c r="G61" s="82"/>
      <c r="H61" s="68"/>
      <c r="I61" s="68" t="s">
        <v>59</v>
      </c>
      <c r="J61" s="68">
        <v>0</v>
      </c>
      <c r="K61" s="68">
        <f>AD68</f>
        <v>52.337490000000003</v>
      </c>
      <c r="L61" s="83">
        <f t="shared" si="15"/>
        <v>130.84372500000001</v>
      </c>
      <c r="M61" s="68"/>
      <c r="N61" s="83">
        <f>AD211</f>
        <v>6.6591399999999998</v>
      </c>
      <c r="O61" s="69"/>
      <c r="R61" s="134" t="s">
        <v>395</v>
      </c>
      <c r="Z61">
        <v>165</v>
      </c>
      <c r="AA61" s="90" t="s">
        <v>497</v>
      </c>
      <c r="AB61" s="179" t="e">
        <f t="shared" si="9"/>
        <v>#N/A</v>
      </c>
      <c r="AC61" s="91" t="e">
        <f t="shared" si="10"/>
        <v>#N/A</v>
      </c>
      <c r="AD61" s="91" t="e">
        <f t="shared" si="11"/>
        <v>#N/A</v>
      </c>
      <c r="AE61" s="191" t="s">
        <v>183</v>
      </c>
      <c r="AF61" s="194" t="s">
        <v>1308</v>
      </c>
      <c r="AG61" s="194"/>
      <c r="AH61" s="194">
        <f>Odečty!$D$14</f>
        <v>24</v>
      </c>
      <c r="AI61" s="194"/>
      <c r="AJ61" s="194"/>
      <c r="AK61" s="194">
        <v>2</v>
      </c>
      <c r="AL61" s="187"/>
      <c r="AM61" s="187"/>
    </row>
    <row r="62" spans="1:57" x14ac:dyDescent="0.25">
      <c r="A62" s="67"/>
      <c r="B62" s="80"/>
      <c r="C62" s="82"/>
      <c r="D62" s="82"/>
      <c r="E62" s="82"/>
      <c r="F62" s="82"/>
      <c r="G62" s="82"/>
      <c r="H62" s="68"/>
      <c r="I62" s="68" t="s">
        <v>415</v>
      </c>
      <c r="J62" s="68">
        <v>0</v>
      </c>
      <c r="K62" s="68">
        <f>AD224</f>
        <v>91.980369999999994</v>
      </c>
      <c r="L62" s="83">
        <f t="shared" si="15"/>
        <v>229.95092499999998</v>
      </c>
      <c r="M62" s="68"/>
      <c r="N62" s="83"/>
      <c r="O62" s="69"/>
      <c r="R62" s="135" t="s">
        <v>396</v>
      </c>
      <c r="S62">
        <v>1</v>
      </c>
      <c r="AA62" s="90" t="s">
        <v>407</v>
      </c>
      <c r="AB62" s="90"/>
      <c r="AC62" s="91"/>
      <c r="AD62" s="91"/>
      <c r="AE62" s="191"/>
      <c r="AF62" s="194">
        <v>0</v>
      </c>
      <c r="AG62" s="194"/>
      <c r="AH62" s="194"/>
      <c r="AI62" s="194"/>
      <c r="AJ62" s="194"/>
      <c r="AK62" s="194">
        <v>0</v>
      </c>
      <c r="AL62" s="187"/>
      <c r="AM62" s="187"/>
    </row>
    <row r="63" spans="1:57" x14ac:dyDescent="0.25">
      <c r="A63" s="67"/>
      <c r="B63" s="80"/>
      <c r="C63" s="82"/>
      <c r="D63" s="82"/>
      <c r="E63" s="82"/>
      <c r="F63" s="82"/>
      <c r="G63" s="82"/>
      <c r="H63" s="68"/>
      <c r="I63" s="72" t="s">
        <v>122</v>
      </c>
      <c r="J63" s="68">
        <f>AD171</f>
        <v>65.652900000000002</v>
      </c>
      <c r="K63" s="74" t="s">
        <v>124</v>
      </c>
      <c r="L63" s="83">
        <f>J63</f>
        <v>65.652900000000002</v>
      </c>
      <c r="M63" s="68"/>
      <c r="N63" s="83"/>
      <c r="O63" s="69"/>
      <c r="Z63">
        <v>34</v>
      </c>
      <c r="AA63" s="90" t="s">
        <v>498</v>
      </c>
      <c r="AB63" s="179" t="str">
        <f t="shared" ref="AB63:AB92" si="16">VLOOKUP(AA63,$Z$246:$AJ$508,(1+$AE$1),0)</f>
        <v>Profil kryjący Top biały</v>
      </c>
      <c r="AC63" s="91">
        <f t="shared" ref="AC63:AC110" si="17">$AB$1*AD63</f>
        <v>18.595009999999998</v>
      </c>
      <c r="AD63" s="91">
        <f t="shared" ref="AD63:AD92" si="18">VLOOKUP(AA63,$Z$246:$AJ$508,(5+$AE$1),0)</f>
        <v>18.595009999999998</v>
      </c>
      <c r="AE63" s="191" t="s">
        <v>184</v>
      </c>
      <c r="AF63" s="194" t="s">
        <v>1308</v>
      </c>
      <c r="AG63" s="194"/>
      <c r="AH63" s="194"/>
      <c r="AI63" s="194">
        <f>Odečty!$E$14</f>
        <v>0</v>
      </c>
      <c r="AJ63" s="194"/>
      <c r="AK63" s="194">
        <v>2</v>
      </c>
      <c r="AL63" s="187"/>
      <c r="AM63" s="187"/>
    </row>
    <row r="64" spans="1:57" x14ac:dyDescent="0.25">
      <c r="A64" s="67" t="s">
        <v>15</v>
      </c>
      <c r="B64" s="68"/>
      <c r="C64" s="68"/>
      <c r="D64" s="68">
        <f>AD23</f>
        <v>165.55967000000001</v>
      </c>
      <c r="E64" s="82">
        <f>AD7</f>
        <v>9.7358899999999995</v>
      </c>
      <c r="F64" s="68" t="s">
        <v>85</v>
      </c>
      <c r="G64" s="82">
        <f>AD39</f>
        <v>185.37687</v>
      </c>
      <c r="H64" s="68"/>
      <c r="I64" s="68" t="s">
        <v>40</v>
      </c>
      <c r="J64" s="68">
        <v>0</v>
      </c>
      <c r="K64" s="68" t="e">
        <f>AD55</f>
        <v>#N/A</v>
      </c>
      <c r="L64" s="83" t="e">
        <f t="shared" si="15"/>
        <v>#N/A</v>
      </c>
      <c r="M64" s="68"/>
      <c r="N64" s="83">
        <f>AD211</f>
        <v>6.6591399999999998</v>
      </c>
      <c r="O64" s="69"/>
      <c r="Z64">
        <v>60</v>
      </c>
      <c r="AA64" s="90" t="s">
        <v>499</v>
      </c>
      <c r="AB64" s="179" t="str">
        <f t="shared" si="16"/>
        <v>Profil kryjący Top brzoza</v>
      </c>
      <c r="AC64" s="91">
        <f t="shared" si="17"/>
        <v>24.326920000000001</v>
      </c>
      <c r="AD64" s="91">
        <f t="shared" si="18"/>
        <v>24.326920000000001</v>
      </c>
      <c r="AE64" s="191" t="s">
        <v>185</v>
      </c>
      <c r="AF64" s="194" t="s">
        <v>1308</v>
      </c>
      <c r="AG64" s="194"/>
      <c r="AH64" s="194"/>
      <c r="AI64" s="194">
        <f>Odečty!$E$14</f>
        <v>0</v>
      </c>
      <c r="AJ64" s="194"/>
      <c r="AK64" s="194">
        <v>2</v>
      </c>
      <c r="AL64" s="187"/>
      <c r="AM64" s="187"/>
    </row>
    <row r="65" spans="1:39" ht="13.8" thickBot="1" x14ac:dyDescent="0.3">
      <c r="A65" s="67"/>
      <c r="B65" s="68"/>
      <c r="C65" s="68"/>
      <c r="D65" s="68">
        <f>AD25</f>
        <v>224.55905000000001</v>
      </c>
      <c r="E65" s="68"/>
      <c r="F65" s="68" t="s">
        <v>86</v>
      </c>
      <c r="G65" s="82">
        <f>AD41</f>
        <v>255.91313</v>
      </c>
      <c r="H65" s="68"/>
      <c r="I65" s="68" t="s">
        <v>41</v>
      </c>
      <c r="J65" s="68">
        <v>0</v>
      </c>
      <c r="K65" s="68">
        <f>AD54</f>
        <v>23.981380000000001</v>
      </c>
      <c r="L65" s="84">
        <f t="shared" si="15"/>
        <v>59.953450000000004</v>
      </c>
      <c r="M65" s="68"/>
      <c r="N65" s="84">
        <f>AD211</f>
        <v>6.6591399999999998</v>
      </c>
      <c r="O65" s="69"/>
      <c r="Z65">
        <v>60</v>
      </c>
      <c r="AA65" s="90" t="s">
        <v>500</v>
      </c>
      <c r="AB65" s="179" t="str">
        <f t="shared" si="16"/>
        <v>Profil kryjący Top buk</v>
      </c>
      <c r="AC65" s="91">
        <f t="shared" si="17"/>
        <v>24.326920000000001</v>
      </c>
      <c r="AD65" s="91">
        <f t="shared" si="18"/>
        <v>24.326920000000001</v>
      </c>
      <c r="AE65" s="191" t="s">
        <v>186</v>
      </c>
      <c r="AF65" s="194" t="s">
        <v>1308</v>
      </c>
      <c r="AG65" s="194"/>
      <c r="AH65" s="194"/>
      <c r="AI65" s="194">
        <f>Odečty!$E$14</f>
        <v>0</v>
      </c>
      <c r="AJ65" s="194"/>
      <c r="AK65" s="194">
        <v>2</v>
      </c>
      <c r="AL65" s="187"/>
      <c r="AM65" s="187"/>
    </row>
    <row r="66" spans="1:39" ht="13.8" thickBot="1" x14ac:dyDescent="0.3">
      <c r="A66" s="67"/>
      <c r="B66" s="68"/>
      <c r="C66" s="68" t="s">
        <v>85</v>
      </c>
      <c r="D66" s="68" t="s">
        <v>86</v>
      </c>
      <c r="E66" s="68"/>
      <c r="F66" s="68"/>
      <c r="G66" s="68"/>
      <c r="H66" s="68"/>
      <c r="I66" s="68" t="s">
        <v>60</v>
      </c>
      <c r="J66" s="68">
        <v>0</v>
      </c>
      <c r="K66" s="68">
        <f>AD58</f>
        <v>65.023520000000005</v>
      </c>
      <c r="L66" s="82">
        <f t="shared" si="15"/>
        <v>162.55880000000002</v>
      </c>
      <c r="M66" s="68"/>
      <c r="N66" s="84">
        <f>AD211</f>
        <v>6.6591399999999998</v>
      </c>
      <c r="O66" s="69"/>
      <c r="Z66">
        <v>60</v>
      </c>
      <c r="AA66" s="90" t="s">
        <v>500</v>
      </c>
      <c r="AB66" s="179" t="str">
        <f t="shared" si="16"/>
        <v>Profil kryjący Top buk</v>
      </c>
      <c r="AC66" s="91">
        <f t="shared" si="17"/>
        <v>24.326920000000001</v>
      </c>
      <c r="AD66" s="91">
        <f t="shared" si="18"/>
        <v>24.326920000000001</v>
      </c>
      <c r="AE66" s="191" t="s">
        <v>187</v>
      </c>
      <c r="AF66" s="194" t="s">
        <v>1308</v>
      </c>
      <c r="AG66" s="194"/>
      <c r="AH66" s="194"/>
      <c r="AI66" s="194">
        <f>Odečty!$E$14</f>
        <v>0</v>
      </c>
      <c r="AJ66" s="194"/>
      <c r="AK66" s="194">
        <v>2</v>
      </c>
      <c r="AL66" s="187"/>
      <c r="AM66" s="187"/>
    </row>
    <row r="67" spans="1:39" ht="13.8" thickBot="1" x14ac:dyDescent="0.3">
      <c r="A67" s="67" t="s">
        <v>392</v>
      </c>
      <c r="B67" s="68" t="s">
        <v>32</v>
      </c>
      <c r="C67" s="68">
        <f>AD155</f>
        <v>170.90098</v>
      </c>
      <c r="D67" s="68">
        <f>AD156</f>
        <v>188.14168000000001</v>
      </c>
      <c r="E67" s="68"/>
      <c r="F67" s="68"/>
      <c r="G67" s="68"/>
      <c r="H67" s="68"/>
      <c r="I67" s="68" t="s">
        <v>61</v>
      </c>
      <c r="J67" s="68">
        <v>0</v>
      </c>
      <c r="K67" s="68">
        <f>AC233</f>
        <v>115.13282</v>
      </c>
      <c r="L67" s="82">
        <f t="shared" si="15"/>
        <v>287.83204999999998</v>
      </c>
      <c r="M67" s="68"/>
      <c r="N67" s="84">
        <f>AD211</f>
        <v>6.6591399999999998</v>
      </c>
      <c r="O67" s="69"/>
      <c r="Z67">
        <v>34</v>
      </c>
      <c r="AA67" s="90" t="s">
        <v>501</v>
      </c>
      <c r="AB67" s="179" t="str">
        <f t="shared" si="16"/>
        <v>Profil kryjący Top czarny</v>
      </c>
      <c r="AC67" s="91">
        <f t="shared" si="17"/>
        <v>18.595009999999998</v>
      </c>
      <c r="AD67" s="91">
        <f t="shared" si="18"/>
        <v>18.595009999999998</v>
      </c>
      <c r="AE67" s="191" t="s">
        <v>188</v>
      </c>
      <c r="AF67" s="194" t="s">
        <v>1308</v>
      </c>
      <c r="AG67" s="194"/>
      <c r="AH67" s="194"/>
      <c r="AI67" s="194">
        <f>Odečty!$E$14</f>
        <v>0</v>
      </c>
      <c r="AJ67" s="194"/>
      <c r="AK67" s="194">
        <v>2</v>
      </c>
      <c r="AL67" s="187"/>
      <c r="AM67" s="187"/>
    </row>
    <row r="68" spans="1:39" x14ac:dyDescent="0.25">
      <c r="A68" s="67"/>
      <c r="B68" s="68" t="s">
        <v>335</v>
      </c>
      <c r="C68" s="68">
        <f>AD197*2</f>
        <v>6.2376800000000001</v>
      </c>
      <c r="D68" s="68"/>
      <c r="E68" s="68"/>
      <c r="F68" s="68"/>
      <c r="G68" s="68"/>
      <c r="H68" s="68"/>
      <c r="I68" s="72" t="s">
        <v>123</v>
      </c>
      <c r="J68" s="68">
        <f>AC162</f>
        <v>108.78563</v>
      </c>
      <c r="K68" s="74" t="s">
        <v>124</v>
      </c>
      <c r="L68" s="82">
        <f>J68</f>
        <v>108.78563</v>
      </c>
      <c r="M68" s="68"/>
      <c r="N68" s="82"/>
      <c r="O68" s="69"/>
      <c r="Z68">
        <v>150</v>
      </c>
      <c r="AA68" s="90" t="s">
        <v>502</v>
      </c>
      <c r="AB68" s="179" t="str">
        <f t="shared" si="16"/>
        <v>Profil kryjący Top ALU 230L</v>
      </c>
      <c r="AC68" s="91">
        <f t="shared" si="17"/>
        <v>52.337490000000003</v>
      </c>
      <c r="AD68" s="91">
        <f t="shared" si="18"/>
        <v>52.337490000000003</v>
      </c>
      <c r="AE68" s="191" t="s">
        <v>189</v>
      </c>
      <c r="AF68" s="194" t="s">
        <v>1308</v>
      </c>
      <c r="AG68" s="194"/>
      <c r="AH68" s="194"/>
      <c r="AI68" s="194">
        <f>Odečty!$E$14</f>
        <v>0</v>
      </c>
      <c r="AJ68" s="194"/>
      <c r="AK68" s="194">
        <v>2</v>
      </c>
      <c r="AL68" s="187"/>
      <c r="AM68" s="187"/>
    </row>
    <row r="69" spans="1:39" x14ac:dyDescent="0.25">
      <c r="A69" s="67"/>
      <c r="B69" s="68"/>
      <c r="C69" s="68"/>
      <c r="D69" s="68"/>
      <c r="E69" s="68"/>
      <c r="F69" s="68"/>
      <c r="G69" s="68"/>
      <c r="H69" s="68"/>
      <c r="I69" s="72" t="s">
        <v>335</v>
      </c>
      <c r="J69" s="68"/>
      <c r="K69" s="68"/>
      <c r="L69" s="82">
        <f>AD188</f>
        <v>27.88409</v>
      </c>
      <c r="M69" s="68"/>
      <c r="N69" s="82"/>
      <c r="O69" s="69"/>
      <c r="Z69">
        <v>60</v>
      </c>
      <c r="AA69" s="90" t="s">
        <v>503</v>
      </c>
      <c r="AB69" s="179" t="str">
        <f t="shared" si="16"/>
        <v>Profil kryjący Top al.(plast)</v>
      </c>
      <c r="AC69" s="91">
        <f t="shared" si="17"/>
        <v>24.326920000000001</v>
      </c>
      <c r="AD69" s="91">
        <f t="shared" si="18"/>
        <v>24.326920000000001</v>
      </c>
      <c r="AE69" s="191" t="s">
        <v>190</v>
      </c>
      <c r="AF69" s="194" t="s">
        <v>1308</v>
      </c>
      <c r="AG69" s="194"/>
      <c r="AH69" s="194"/>
      <c r="AI69" s="194">
        <f>Odečty!$E$14</f>
        <v>0</v>
      </c>
      <c r="AJ69" s="194"/>
      <c r="AK69" s="194">
        <v>2</v>
      </c>
      <c r="AL69" s="187"/>
      <c r="AM69" s="187"/>
    </row>
    <row r="70" spans="1:39" x14ac:dyDescent="0.25">
      <c r="A70" s="67"/>
      <c r="B70" s="68"/>
      <c r="C70" s="618" t="s">
        <v>35</v>
      </c>
      <c r="D70" s="618"/>
      <c r="E70" s="618"/>
      <c r="F70" s="68"/>
      <c r="G70" s="618" t="s">
        <v>34</v>
      </c>
      <c r="H70" s="618"/>
      <c r="I70" s="618"/>
      <c r="J70" s="68"/>
      <c r="K70" s="68"/>
      <c r="L70" s="82"/>
      <c r="M70" s="68"/>
      <c r="N70" s="82"/>
      <c r="O70" s="69"/>
      <c r="Z70">
        <v>60</v>
      </c>
      <c r="AA70" s="90" t="s">
        <v>504</v>
      </c>
      <c r="AB70" s="179" t="str">
        <f t="shared" si="16"/>
        <v>Profil kryjący Top jawor</v>
      </c>
      <c r="AC70" s="91">
        <f t="shared" si="17"/>
        <v>24.326920000000001</v>
      </c>
      <c r="AD70" s="91">
        <f t="shared" si="18"/>
        <v>24.326920000000001</v>
      </c>
      <c r="AE70" s="191" t="s">
        <v>191</v>
      </c>
      <c r="AF70" s="194" t="s">
        <v>1308</v>
      </c>
      <c r="AG70" s="194"/>
      <c r="AH70" s="194"/>
      <c r="AI70" s="194">
        <f>Odečty!$E$14</f>
        <v>0</v>
      </c>
      <c r="AJ70" s="194"/>
      <c r="AK70" s="194">
        <v>2</v>
      </c>
      <c r="AL70" s="187"/>
      <c r="AM70" s="187"/>
    </row>
    <row r="71" spans="1:39" ht="13.8" thickBot="1" x14ac:dyDescent="0.3">
      <c r="A71" s="67" t="s">
        <v>15</v>
      </c>
      <c r="B71" s="68"/>
      <c r="C71" s="68" t="s">
        <v>46</v>
      </c>
      <c r="D71" s="68" t="s">
        <v>36</v>
      </c>
      <c r="E71" s="68" t="s">
        <v>55</v>
      </c>
      <c r="F71" s="68" t="s">
        <v>42</v>
      </c>
      <c r="G71" s="68" t="s">
        <v>46</v>
      </c>
      <c r="H71" s="68" t="s">
        <v>36</v>
      </c>
      <c r="I71" s="68" t="s">
        <v>55</v>
      </c>
      <c r="J71" s="68"/>
      <c r="K71" s="68"/>
      <c r="L71" s="68"/>
      <c r="M71" s="68"/>
      <c r="N71" s="68"/>
      <c r="O71" s="69"/>
      <c r="Z71">
        <v>34</v>
      </c>
      <c r="AA71" s="90" t="s">
        <v>505</v>
      </c>
      <c r="AB71" s="179" t="str">
        <f t="shared" si="16"/>
        <v>Profil kryjący Top szary</v>
      </c>
      <c r="AC71" s="91">
        <f t="shared" si="17"/>
        <v>18.595009999999998</v>
      </c>
      <c r="AD71" s="91">
        <f t="shared" si="18"/>
        <v>18.595009999999998</v>
      </c>
      <c r="AE71" s="191" t="s">
        <v>192</v>
      </c>
      <c r="AF71" s="194" t="s">
        <v>1308</v>
      </c>
      <c r="AG71" s="194"/>
      <c r="AH71" s="194"/>
      <c r="AI71" s="194">
        <f>Odečty!$E$14</f>
        <v>0</v>
      </c>
      <c r="AJ71" s="194"/>
      <c r="AK71" s="194">
        <v>2</v>
      </c>
      <c r="AL71" s="187"/>
      <c r="AM71" s="187"/>
    </row>
    <row r="72" spans="1:39" ht="13.8" thickBot="1" x14ac:dyDescent="0.3">
      <c r="A72" s="85" t="s">
        <v>47</v>
      </c>
      <c r="B72" s="68"/>
      <c r="C72" s="68">
        <f>AD34</f>
        <v>178.88355999999999</v>
      </c>
      <c r="D72" s="80">
        <f>AD74</f>
        <v>26.355560000000001</v>
      </c>
      <c r="E72" s="86">
        <f>C72+D72</f>
        <v>205.23911999999999</v>
      </c>
      <c r="F72" s="68" t="e">
        <f>AD9</f>
        <v>#N/A</v>
      </c>
      <c r="G72" s="68">
        <f>AD49</f>
        <v>98.007369999999995</v>
      </c>
      <c r="H72" s="80">
        <f>AD84</f>
        <v>27.027149999999999</v>
      </c>
      <c r="I72" s="81">
        <f>G72+H72</f>
        <v>125.03451999999999</v>
      </c>
      <c r="J72" s="68"/>
      <c r="K72" s="68"/>
      <c r="L72" s="68"/>
      <c r="M72" s="68"/>
      <c r="N72" s="68"/>
      <c r="O72" s="69"/>
      <c r="Z72">
        <v>60</v>
      </c>
      <c r="AA72" s="90" t="s">
        <v>506</v>
      </c>
      <c r="AB72" s="179" t="str">
        <f t="shared" si="16"/>
        <v>Profil kryjący Top czerś.</v>
      </c>
      <c r="AC72" s="91">
        <f t="shared" si="17"/>
        <v>24.326920000000001</v>
      </c>
      <c r="AD72" s="91">
        <f t="shared" si="18"/>
        <v>24.326920000000001</v>
      </c>
      <c r="AE72" s="191" t="s">
        <v>193</v>
      </c>
      <c r="AF72" s="194" t="s">
        <v>1308</v>
      </c>
      <c r="AG72" s="194"/>
      <c r="AH72" s="194"/>
      <c r="AI72" s="194">
        <f>Odečty!$E$14</f>
        <v>0</v>
      </c>
      <c r="AJ72" s="194"/>
      <c r="AK72" s="194">
        <v>2</v>
      </c>
      <c r="AL72" s="187"/>
      <c r="AM72" s="187"/>
    </row>
    <row r="73" spans="1:39" ht="13.8" thickBot="1" x14ac:dyDescent="0.3">
      <c r="A73" s="85" t="s">
        <v>48</v>
      </c>
      <c r="B73" s="68"/>
      <c r="C73" s="68">
        <f>AD34</f>
        <v>178.88355999999999</v>
      </c>
      <c r="D73" s="80" t="e">
        <f>AD73</f>
        <v>#N/A</v>
      </c>
      <c r="E73" s="86" t="e">
        <f>C73+D73</f>
        <v>#N/A</v>
      </c>
      <c r="F73" s="68"/>
      <c r="G73" s="68">
        <f>AD49</f>
        <v>98.007369999999995</v>
      </c>
      <c r="H73" s="80" t="e">
        <f>AD87</f>
        <v>#N/A</v>
      </c>
      <c r="I73" s="84" t="e">
        <f>G73+H73</f>
        <v>#N/A</v>
      </c>
      <c r="J73" s="68"/>
      <c r="K73" s="68"/>
      <c r="L73" s="68"/>
      <c r="M73" s="68"/>
      <c r="N73" s="68"/>
      <c r="O73" s="69"/>
      <c r="Z73">
        <v>131</v>
      </c>
      <c r="AA73" s="90" t="s">
        <v>507</v>
      </c>
      <c r="AB73" s="179" t="e">
        <f t="shared" si="16"/>
        <v>#N/A</v>
      </c>
      <c r="AC73" s="91" t="e">
        <f t="shared" si="17"/>
        <v>#N/A</v>
      </c>
      <c r="AD73" s="91" t="e">
        <f t="shared" si="18"/>
        <v>#N/A</v>
      </c>
      <c r="AE73" s="191" t="s">
        <v>194</v>
      </c>
      <c r="AF73" s="194" t="str">
        <f>Odečty!B5</f>
        <v>-</v>
      </c>
      <c r="AG73" s="194" t="str">
        <f>Odečty!C5</f>
        <v>-</v>
      </c>
      <c r="AH73" s="194">
        <f>Odečty!D5</f>
        <v>-28</v>
      </c>
      <c r="AI73" s="194" t="str">
        <f>Odečty!E5</f>
        <v>-</v>
      </c>
      <c r="AJ73" s="194">
        <f>Odečty!F5</f>
        <v>-29</v>
      </c>
      <c r="AK73" s="194">
        <v>1</v>
      </c>
      <c r="AL73" s="187"/>
      <c r="AM73" s="187"/>
    </row>
    <row r="74" spans="1:39" ht="13.8" thickBot="1" x14ac:dyDescent="0.3">
      <c r="A74" s="87"/>
      <c r="B74" s="78"/>
      <c r="C74" s="78"/>
      <c r="D74" s="78"/>
      <c r="E74" s="88"/>
      <c r="F74" s="78"/>
      <c r="G74" s="78"/>
      <c r="H74" s="78"/>
      <c r="I74" s="78"/>
      <c r="J74" s="78"/>
      <c r="K74" s="78"/>
      <c r="L74" s="78"/>
      <c r="M74" s="78"/>
      <c r="N74" s="78"/>
      <c r="O74" s="79"/>
      <c r="Z74">
        <v>87</v>
      </c>
      <c r="AA74" s="90" t="s">
        <v>508</v>
      </c>
      <c r="AB74" s="179" t="str">
        <f t="shared" si="16"/>
        <v>Osłona lis.koń.z uskokiem biała</v>
      </c>
      <c r="AC74" s="91">
        <f t="shared" si="17"/>
        <v>26.355560000000001</v>
      </c>
      <c r="AD74" s="91">
        <f t="shared" si="18"/>
        <v>26.355560000000001</v>
      </c>
      <c r="AE74" s="191" t="s">
        <v>195</v>
      </c>
      <c r="AF74" s="194" t="str">
        <f>Odečty!B5</f>
        <v>-</v>
      </c>
      <c r="AG74" s="194" t="str">
        <f>Odečty!C5</f>
        <v>-</v>
      </c>
      <c r="AH74" s="194">
        <f>Odečty!D5</f>
        <v>-28</v>
      </c>
      <c r="AI74" s="194" t="str">
        <f>Odečty!E5</f>
        <v>-</v>
      </c>
      <c r="AJ74" s="194">
        <f>Odečty!F5</f>
        <v>-29</v>
      </c>
      <c r="AK74" s="194">
        <v>1</v>
      </c>
      <c r="AL74" s="187"/>
      <c r="AM74" s="187"/>
    </row>
    <row r="75" spans="1:39" x14ac:dyDescent="0.25">
      <c r="A75" s="18"/>
      <c r="Z75">
        <v>131</v>
      </c>
      <c r="AA75" s="90" t="s">
        <v>509</v>
      </c>
      <c r="AB75" s="179" t="e">
        <f t="shared" si="16"/>
        <v>#N/A</v>
      </c>
      <c r="AC75" s="91" t="e">
        <f t="shared" si="17"/>
        <v>#N/A</v>
      </c>
      <c r="AD75" s="91" t="e">
        <f t="shared" si="18"/>
        <v>#N/A</v>
      </c>
      <c r="AE75" s="191" t="s">
        <v>196</v>
      </c>
      <c r="AF75" s="194" t="str">
        <f>Odečty!B5</f>
        <v>-</v>
      </c>
      <c r="AG75" s="194" t="str">
        <f>Odečty!C5</f>
        <v>-</v>
      </c>
      <c r="AH75" s="194">
        <f>Odečty!D5</f>
        <v>-28</v>
      </c>
      <c r="AI75" s="194" t="str">
        <f>Odečty!E5</f>
        <v>-</v>
      </c>
      <c r="AJ75" s="194">
        <f>Odečty!F5</f>
        <v>-29</v>
      </c>
      <c r="AK75" s="194">
        <v>1</v>
      </c>
      <c r="AL75" s="187"/>
      <c r="AM75" s="187"/>
    </row>
    <row r="76" spans="1:39" ht="13.8" thickBot="1" x14ac:dyDescent="0.3">
      <c r="Z76">
        <v>131</v>
      </c>
      <c r="AA76" s="90" t="s">
        <v>507</v>
      </c>
      <c r="AB76" s="179" t="e">
        <f t="shared" si="16"/>
        <v>#N/A</v>
      </c>
      <c r="AC76" s="91" t="e">
        <f t="shared" si="17"/>
        <v>#N/A</v>
      </c>
      <c r="AD76" s="91" t="e">
        <f t="shared" si="18"/>
        <v>#N/A</v>
      </c>
      <c r="AE76" s="191" t="s">
        <v>197</v>
      </c>
      <c r="AF76" s="194" t="str">
        <f>Odečty!B5</f>
        <v>-</v>
      </c>
      <c r="AG76" s="194" t="str">
        <f>Odečty!C5</f>
        <v>-</v>
      </c>
      <c r="AH76" s="194">
        <f>Odečty!D5</f>
        <v>-28</v>
      </c>
      <c r="AI76" s="194" t="str">
        <f>Odečty!E5</f>
        <v>-</v>
      </c>
      <c r="AJ76" s="194">
        <f>Odečty!F5</f>
        <v>-29</v>
      </c>
      <c r="AK76" s="194">
        <v>1</v>
      </c>
      <c r="AL76" s="187"/>
      <c r="AM76" s="187"/>
    </row>
    <row r="77" spans="1:39" ht="20.399999999999999" x14ac:dyDescent="0.35">
      <c r="A77" s="34" t="s">
        <v>72</v>
      </c>
      <c r="B77" s="28"/>
      <c r="C77" s="28"/>
      <c r="D77" s="28"/>
      <c r="E77" s="28"/>
      <c r="F77" s="28"/>
      <c r="G77" s="28"/>
      <c r="H77" s="28"/>
      <c r="I77" s="28"/>
      <c r="J77" s="28"/>
      <c r="K77" s="28"/>
      <c r="L77" s="28"/>
      <c r="M77" s="28"/>
      <c r="N77" s="28"/>
      <c r="O77" s="28"/>
      <c r="P77" s="28"/>
      <c r="Q77" s="28"/>
      <c r="R77" s="29"/>
      <c r="Z77">
        <v>87</v>
      </c>
      <c r="AA77" s="90" t="s">
        <v>510</v>
      </c>
      <c r="AB77" s="179" t="str">
        <f t="shared" si="16"/>
        <v>Osłona lis.koń.z uskokiem czarna</v>
      </c>
      <c r="AC77" s="91">
        <f t="shared" si="17"/>
        <v>26.355560000000001</v>
      </c>
      <c r="AD77" s="91">
        <f t="shared" si="18"/>
        <v>26.355560000000001</v>
      </c>
      <c r="AE77" s="191" t="s">
        <v>198</v>
      </c>
      <c r="AF77" s="194" t="str">
        <f>Odečty!B5</f>
        <v>-</v>
      </c>
      <c r="AG77" s="194" t="str">
        <f>Odečty!C5</f>
        <v>-</v>
      </c>
      <c r="AH77" s="194">
        <f>Odečty!D5</f>
        <v>-28</v>
      </c>
      <c r="AI77" s="194" t="str">
        <f>Odečty!E5</f>
        <v>-</v>
      </c>
      <c r="AJ77" s="194">
        <f>Odečty!F5</f>
        <v>-29</v>
      </c>
      <c r="AK77" s="194">
        <v>1</v>
      </c>
      <c r="AL77" s="187"/>
      <c r="AM77" s="187"/>
    </row>
    <row r="78" spans="1:39" x14ac:dyDescent="0.25">
      <c r="A78" s="30" t="s">
        <v>73</v>
      </c>
      <c r="B78" t="s">
        <v>77</v>
      </c>
      <c r="C78" t="s">
        <v>78</v>
      </c>
      <c r="D78" t="s">
        <v>74</v>
      </c>
      <c r="E78" t="s">
        <v>75</v>
      </c>
      <c r="F78" t="s">
        <v>76</v>
      </c>
      <c r="G78" t="s">
        <v>79</v>
      </c>
      <c r="R78" s="31"/>
      <c r="Z78">
        <v>131</v>
      </c>
      <c r="AA78" s="90" t="s">
        <v>511</v>
      </c>
      <c r="AB78" s="179" t="str">
        <f t="shared" si="16"/>
        <v>Osłona lis.koń.z uskokiem al.(plas.)</v>
      </c>
      <c r="AC78" s="91">
        <f t="shared" si="17"/>
        <v>44.565689999999996</v>
      </c>
      <c r="AD78" s="91">
        <f t="shared" si="18"/>
        <v>44.565689999999996</v>
      </c>
      <c r="AE78" s="191" t="s">
        <v>199</v>
      </c>
      <c r="AF78" s="194" t="str">
        <f>Odečty!B5</f>
        <v>-</v>
      </c>
      <c r="AG78" s="194" t="str">
        <f>Odečty!C5</f>
        <v>-</v>
      </c>
      <c r="AH78" s="194">
        <f>Odečty!D5</f>
        <v>-28</v>
      </c>
      <c r="AI78" s="194" t="str">
        <f>Odečty!E5</f>
        <v>-</v>
      </c>
      <c r="AJ78" s="194">
        <f>Odečty!F5</f>
        <v>-29</v>
      </c>
      <c r="AK78" s="194">
        <v>1</v>
      </c>
      <c r="AL78" s="187"/>
      <c r="AM78" s="187"/>
    </row>
    <row r="79" spans="1:39" x14ac:dyDescent="0.25">
      <c r="A79" s="30">
        <v>500</v>
      </c>
      <c r="B79">
        <v>1000</v>
      </c>
      <c r="C79">
        <v>600</v>
      </c>
      <c r="D79">
        <f>ABS(Titulní!$B$11-500)</f>
        <v>464</v>
      </c>
      <c r="E79">
        <f t="shared" ref="E79:E86" si="19">IF(D79&lt;=10,1,0)</f>
        <v>0</v>
      </c>
      <c r="F79">
        <f>IF(Titulní!$B$9&gt;výpočty!B79,0,IF(Titulní!$B$9&lt;výpočty!C79,0,1))</f>
        <v>0</v>
      </c>
      <c r="G79">
        <f t="shared" ref="G79:G86" si="20">E79+F79</f>
        <v>0</v>
      </c>
      <c r="I79" t="s">
        <v>345</v>
      </c>
      <c r="J79">
        <f t="shared" ref="J79:J84" si="21">$F$31*AC199</f>
        <v>0</v>
      </c>
      <c r="L79" t="s">
        <v>344</v>
      </c>
      <c r="M79">
        <f t="shared" ref="M79:M84" si="22">$F$31*AC205</f>
        <v>15.70008</v>
      </c>
      <c r="N79" t="s">
        <v>346</v>
      </c>
      <c r="R79" s="31"/>
      <c r="Z79">
        <v>131</v>
      </c>
      <c r="AA79" s="90" t="s">
        <v>512</v>
      </c>
      <c r="AB79" s="179" t="str">
        <f t="shared" si="16"/>
        <v>Osłona lis.koń.z uskokiem jawor</v>
      </c>
      <c r="AC79" s="91" t="e">
        <f t="shared" si="17"/>
        <v>#N/A</v>
      </c>
      <c r="AD79" s="91" t="e">
        <f t="shared" si="18"/>
        <v>#N/A</v>
      </c>
      <c r="AE79" s="191" t="s">
        <v>200</v>
      </c>
      <c r="AF79" s="194" t="str">
        <f>Odečty!B5</f>
        <v>-</v>
      </c>
      <c r="AG79" s="194" t="str">
        <f>Odečty!C5</f>
        <v>-</v>
      </c>
      <c r="AH79" s="194">
        <f>Odečty!D5</f>
        <v>-28</v>
      </c>
      <c r="AI79" s="194" t="str">
        <f>Odečty!E5</f>
        <v>-</v>
      </c>
      <c r="AJ79" s="194">
        <f>Odečty!F5</f>
        <v>-29</v>
      </c>
      <c r="AK79" s="194">
        <v>1</v>
      </c>
      <c r="AL79" s="187"/>
      <c r="AM79" s="187"/>
    </row>
    <row r="80" spans="1:39" x14ac:dyDescent="0.25">
      <c r="A80" s="30">
        <v>500</v>
      </c>
      <c r="B80">
        <v>1500</v>
      </c>
      <c r="C80">
        <v>1000</v>
      </c>
      <c r="D80">
        <f>ABS(Titulní!$B$11-500)</f>
        <v>464</v>
      </c>
      <c r="E80">
        <f t="shared" si="19"/>
        <v>0</v>
      </c>
      <c r="F80">
        <f>IF(Titulní!$B$9&gt;výpočty!B80,0,IF(Titulní!$B$9&lt;výpočty!C80,0,1))</f>
        <v>0</v>
      </c>
      <c r="G80">
        <f t="shared" si="20"/>
        <v>0</v>
      </c>
      <c r="I80" t="s">
        <v>347</v>
      </c>
      <c r="J80">
        <f t="shared" si="21"/>
        <v>0</v>
      </c>
      <c r="M80">
        <f t="shared" si="22"/>
        <v>42.180149999999998</v>
      </c>
      <c r="N80" t="s">
        <v>352</v>
      </c>
      <c r="R80" s="31"/>
      <c r="Z80">
        <v>87</v>
      </c>
      <c r="AA80" s="90" t="s">
        <v>513</v>
      </c>
      <c r="AB80" s="179" t="str">
        <f t="shared" si="16"/>
        <v>Osłona lis.koń.z uskokiem szara</v>
      </c>
      <c r="AC80" s="91">
        <f t="shared" si="17"/>
        <v>26.355560000000001</v>
      </c>
      <c r="AD80" s="91">
        <f t="shared" si="18"/>
        <v>26.355560000000001</v>
      </c>
      <c r="AE80" s="191" t="s">
        <v>201</v>
      </c>
      <c r="AF80" s="194" t="str">
        <f>Odečty!B5</f>
        <v>-</v>
      </c>
      <c r="AG80" s="194" t="str">
        <f>Odečty!C5</f>
        <v>-</v>
      </c>
      <c r="AH80" s="194">
        <f>Odečty!D5</f>
        <v>-28</v>
      </c>
      <c r="AI80" s="194" t="str">
        <f>Odečty!E5</f>
        <v>-</v>
      </c>
      <c r="AJ80" s="194">
        <f>Odečty!F5</f>
        <v>-29</v>
      </c>
      <c r="AK80" s="194">
        <v>1</v>
      </c>
      <c r="AL80" s="187"/>
      <c r="AM80" s="187"/>
    </row>
    <row r="81" spans="1:40" x14ac:dyDescent="0.25">
      <c r="A81" s="30">
        <v>600</v>
      </c>
      <c r="B81">
        <v>1000</v>
      </c>
      <c r="C81">
        <v>600</v>
      </c>
      <c r="D81">
        <f>ABS(Titulní!$B$11-600)</f>
        <v>564</v>
      </c>
      <c r="E81">
        <f t="shared" si="19"/>
        <v>0</v>
      </c>
      <c r="F81">
        <f>IF(Titulní!$B$9&gt;výpočty!B81,0,IF(Titulní!$B$9&lt;výpočty!C81,0,1))</f>
        <v>0</v>
      </c>
      <c r="G81">
        <f t="shared" si="20"/>
        <v>0</v>
      </c>
      <c r="I81" t="s">
        <v>348</v>
      </c>
      <c r="J81">
        <f t="shared" si="21"/>
        <v>25.78689</v>
      </c>
      <c r="M81">
        <f t="shared" si="22"/>
        <v>84.051220000000001</v>
      </c>
      <c r="N81" t="s">
        <v>353</v>
      </c>
      <c r="R81" s="31"/>
      <c r="Z81">
        <v>131</v>
      </c>
      <c r="AA81" s="90" t="s">
        <v>514</v>
      </c>
      <c r="AB81" s="179" t="e">
        <f t="shared" si="16"/>
        <v>#N/A</v>
      </c>
      <c r="AC81" s="91" t="e">
        <f t="shared" si="17"/>
        <v>#N/A</v>
      </c>
      <c r="AD81" s="91" t="e">
        <f t="shared" si="18"/>
        <v>#N/A</v>
      </c>
      <c r="AE81" s="191" t="s">
        <v>202</v>
      </c>
      <c r="AF81" s="194" t="str">
        <f>Odečty!B5</f>
        <v>-</v>
      </c>
      <c r="AG81" s="194" t="str">
        <f>Odečty!C5</f>
        <v>-</v>
      </c>
      <c r="AH81" s="194">
        <f>Odečty!D5</f>
        <v>-28</v>
      </c>
      <c r="AI81" s="194" t="str">
        <f>Odečty!E5</f>
        <v>-</v>
      </c>
      <c r="AJ81" s="194">
        <f>Odečty!F5</f>
        <v>-29</v>
      </c>
      <c r="AK81" s="194">
        <v>1</v>
      </c>
      <c r="AL81" s="187"/>
      <c r="AM81" s="187"/>
    </row>
    <row r="82" spans="1:40" x14ac:dyDescent="0.25">
      <c r="A82" s="30">
        <v>600</v>
      </c>
      <c r="B82">
        <v>1500</v>
      </c>
      <c r="C82">
        <v>1000</v>
      </c>
      <c r="D82">
        <f>ABS(Titulní!$B$11-600)</f>
        <v>564</v>
      </c>
      <c r="E82">
        <f t="shared" si="19"/>
        <v>0</v>
      </c>
      <c r="F82">
        <f>IF(Titulní!$B$9&gt;výpočty!B82,0,IF(Titulní!$B$9&lt;výpočty!C82,0,1))</f>
        <v>0</v>
      </c>
      <c r="G82">
        <f t="shared" si="20"/>
        <v>0</v>
      </c>
      <c r="I82" t="s">
        <v>349</v>
      </c>
      <c r="J82">
        <f t="shared" si="21"/>
        <v>12.394579999999999</v>
      </c>
      <c r="M82">
        <f t="shared" si="22"/>
        <v>45.669879999999999</v>
      </c>
      <c r="N82" t="s">
        <v>354</v>
      </c>
      <c r="R82" s="31"/>
      <c r="Z82">
        <v>111</v>
      </c>
      <c r="AA82" s="90" t="s">
        <v>515</v>
      </c>
      <c r="AB82" s="179" t="str">
        <f t="shared" si="16"/>
        <v>Osłona listwy mask. z uskokiem jawor</v>
      </c>
      <c r="AC82" s="91" t="e">
        <f t="shared" si="17"/>
        <v>#N/A</v>
      </c>
      <c r="AD82" s="91" t="e">
        <f t="shared" si="18"/>
        <v>#N/A</v>
      </c>
      <c r="AE82" s="191" t="s">
        <v>203</v>
      </c>
      <c r="AF82" s="194" t="str">
        <f>Odečty!B12</f>
        <v>-</v>
      </c>
      <c r="AG82" s="194" t="str">
        <f>Odečty!C12</f>
        <v>-</v>
      </c>
      <c r="AH82" s="194">
        <f>Odečty!D12</f>
        <v>-24</v>
      </c>
      <c r="AI82" s="194" t="str">
        <f>Odečty!E12</f>
        <v>-</v>
      </c>
      <c r="AJ82" s="194">
        <f>Odečty!F12</f>
        <v>-25</v>
      </c>
      <c r="AK82" s="194">
        <v>1</v>
      </c>
      <c r="AL82" s="187"/>
      <c r="AM82" s="187"/>
    </row>
    <row r="83" spans="1:40" x14ac:dyDescent="0.25">
      <c r="A83" s="30">
        <v>900</v>
      </c>
      <c r="B83">
        <v>1000</v>
      </c>
      <c r="C83">
        <v>600</v>
      </c>
      <c r="D83">
        <f>ABS(Titulní!$B$11-900)</f>
        <v>864</v>
      </c>
      <c r="E83">
        <f t="shared" si="19"/>
        <v>0</v>
      </c>
      <c r="F83">
        <f>IF(Titulní!$B$9&gt;výpočty!B83,0,IF(Titulní!$B$9&lt;výpočty!C83,0,1))</f>
        <v>0</v>
      </c>
      <c r="G83">
        <f t="shared" si="20"/>
        <v>0</v>
      </c>
      <c r="I83" t="s">
        <v>350</v>
      </c>
      <c r="J83">
        <f t="shared" si="21"/>
        <v>5.2317799999999997</v>
      </c>
      <c r="M83">
        <f t="shared" si="22"/>
        <v>18.595009999999998</v>
      </c>
      <c r="N83" t="s">
        <v>355</v>
      </c>
      <c r="R83" s="31"/>
      <c r="Z83">
        <v>111</v>
      </c>
      <c r="AA83" s="90" t="s">
        <v>516</v>
      </c>
      <c r="AB83" s="179" t="e">
        <f t="shared" si="16"/>
        <v>#N/A</v>
      </c>
      <c r="AC83" s="91" t="e">
        <f t="shared" si="17"/>
        <v>#N/A</v>
      </c>
      <c r="AD83" s="91" t="e">
        <f t="shared" si="18"/>
        <v>#N/A</v>
      </c>
      <c r="AE83" s="191" t="s">
        <v>204</v>
      </c>
      <c r="AF83" s="194" t="str">
        <f>Odečty!B12</f>
        <v>-</v>
      </c>
      <c r="AG83" s="194" t="str">
        <f>Odečty!C12</f>
        <v>-</v>
      </c>
      <c r="AH83" s="194">
        <f>Odečty!D12</f>
        <v>-24</v>
      </c>
      <c r="AI83" s="194" t="str">
        <f>Odečty!E12</f>
        <v>-</v>
      </c>
      <c r="AJ83" s="194">
        <f>Odečty!F12</f>
        <v>-25</v>
      </c>
      <c r="AK83" s="194">
        <v>1</v>
      </c>
      <c r="AL83" s="187"/>
      <c r="AM83" s="187"/>
    </row>
    <row r="84" spans="1:40" x14ac:dyDescent="0.25">
      <c r="A84" s="30">
        <v>900</v>
      </c>
      <c r="B84">
        <v>1500</v>
      </c>
      <c r="C84">
        <v>1000</v>
      </c>
      <c r="D84">
        <f>ABS(Titulní!$B$11-900)</f>
        <v>864</v>
      </c>
      <c r="E84">
        <f t="shared" si="19"/>
        <v>0</v>
      </c>
      <c r="F84">
        <f>IF(Titulní!$B$9&gt;výpočty!B84,0,IF(Titulní!$B$9&lt;výpočty!C84,0,1))</f>
        <v>0</v>
      </c>
      <c r="G84">
        <f t="shared" si="20"/>
        <v>0</v>
      </c>
      <c r="I84" t="s">
        <v>351</v>
      </c>
      <c r="J84">
        <f t="shared" si="21"/>
        <v>9.1345799999999997</v>
      </c>
      <c r="M84">
        <f t="shared" si="22"/>
        <v>8.5023300000000006</v>
      </c>
      <c r="N84" t="s">
        <v>356</v>
      </c>
      <c r="R84" s="31"/>
      <c r="Z84">
        <v>71</v>
      </c>
      <c r="AA84" s="90" t="s">
        <v>517</v>
      </c>
      <c r="AB84" s="179" t="str">
        <f t="shared" si="16"/>
        <v>Osłona listwy mask. z uskokiem-uni czarn</v>
      </c>
      <c r="AC84" s="91">
        <f t="shared" si="17"/>
        <v>27.027149999999999</v>
      </c>
      <c r="AD84" s="91">
        <f t="shared" si="18"/>
        <v>27.027149999999999</v>
      </c>
      <c r="AE84" s="191" t="s">
        <v>205</v>
      </c>
      <c r="AF84" s="194" t="str">
        <f>Odečty!B12</f>
        <v>-</v>
      </c>
      <c r="AG84" s="194" t="str">
        <f>Odečty!C12</f>
        <v>-</v>
      </c>
      <c r="AH84" s="194">
        <f>Odečty!D12</f>
        <v>-24</v>
      </c>
      <c r="AI84" s="194" t="str">
        <f>Odečty!E12</f>
        <v>-</v>
      </c>
      <c r="AJ84" s="194">
        <f>Odečty!F12</f>
        <v>-25</v>
      </c>
      <c r="AK84" s="194">
        <v>1</v>
      </c>
      <c r="AL84" s="187"/>
      <c r="AM84" s="187"/>
    </row>
    <row r="85" spans="1:40" x14ac:dyDescent="0.25">
      <c r="A85" s="30">
        <v>450</v>
      </c>
      <c r="B85">
        <v>900</v>
      </c>
      <c r="C85">
        <v>600</v>
      </c>
      <c r="D85">
        <f>ABS(Titulní!$B$11-450)</f>
        <v>414</v>
      </c>
      <c r="E85">
        <f t="shared" si="19"/>
        <v>0</v>
      </c>
      <c r="F85">
        <f>IF(Titulní!$B$9&gt;výpočty!B85,0,IF(Titulní!$B$9&lt;výpočty!C85,0,1))</f>
        <v>0</v>
      </c>
      <c r="G85">
        <f t="shared" si="20"/>
        <v>0</v>
      </c>
      <c r="I85" t="s">
        <v>416</v>
      </c>
      <c r="J85">
        <f>$F$31*AC225</f>
        <v>0</v>
      </c>
      <c r="M85">
        <f>$F$31*AC226</f>
        <v>0</v>
      </c>
      <c r="N85" t="s">
        <v>418</v>
      </c>
      <c r="R85" s="31"/>
      <c r="Z85">
        <v>71</v>
      </c>
      <c r="AA85" s="90" t="s">
        <v>518</v>
      </c>
      <c r="AB85" s="179" t="str">
        <f t="shared" si="16"/>
        <v>Osłona listwy mask. z uskokiem-uni szara</v>
      </c>
      <c r="AC85" s="91">
        <f t="shared" si="17"/>
        <v>27.027149999999999</v>
      </c>
      <c r="AD85" s="91">
        <f t="shared" si="18"/>
        <v>27.027149999999999</v>
      </c>
      <c r="AE85" s="191" t="s">
        <v>206</v>
      </c>
      <c r="AF85" s="194" t="str">
        <f>Odečty!B12</f>
        <v>-</v>
      </c>
      <c r="AG85" s="194" t="str">
        <f>Odečty!C12</f>
        <v>-</v>
      </c>
      <c r="AH85" s="194">
        <f>Odečty!D12</f>
        <v>-24</v>
      </c>
      <c r="AI85" s="194" t="str">
        <f>Odečty!E12</f>
        <v>-</v>
      </c>
      <c r="AJ85" s="194">
        <f>Odečty!F12</f>
        <v>-25</v>
      </c>
      <c r="AK85" s="194">
        <v>1</v>
      </c>
      <c r="AL85" s="187"/>
      <c r="AM85" s="187"/>
    </row>
    <row r="86" spans="1:40" x14ac:dyDescent="0.25">
      <c r="A86" s="30">
        <v>450</v>
      </c>
      <c r="B86">
        <v>1420</v>
      </c>
      <c r="C86">
        <v>1000</v>
      </c>
      <c r="D86">
        <f>ABS(Titulní!$B$11-450)</f>
        <v>414</v>
      </c>
      <c r="E86">
        <f t="shared" si="19"/>
        <v>0</v>
      </c>
      <c r="F86">
        <f>IF(Titulní!$B$9&gt;výpočty!B86,0,IF(Titulní!$B$9&lt;výpočty!C86,0,1))</f>
        <v>0</v>
      </c>
      <c r="G86">
        <f t="shared" si="20"/>
        <v>0</v>
      </c>
      <c r="I86" t="s">
        <v>417</v>
      </c>
      <c r="J86">
        <f>$F$31*AC227</f>
        <v>0</v>
      </c>
      <c r="M86">
        <f>$F$31*AC228</f>
        <v>0</v>
      </c>
      <c r="N86" t="s">
        <v>419</v>
      </c>
      <c r="R86" s="31"/>
      <c r="Z86">
        <v>71</v>
      </c>
      <c r="AA86" s="90" t="s">
        <v>519</v>
      </c>
      <c r="AB86" s="179" t="str">
        <f t="shared" si="16"/>
        <v>Osłona listwy mask. z uskokiem-uni biała</v>
      </c>
      <c r="AC86" s="91">
        <f t="shared" si="17"/>
        <v>27.027149999999999</v>
      </c>
      <c r="AD86" s="91">
        <f t="shared" si="18"/>
        <v>27.027149999999999</v>
      </c>
      <c r="AE86" s="191" t="s">
        <v>207</v>
      </c>
      <c r="AF86" s="194" t="str">
        <f>Odečty!B12</f>
        <v>-</v>
      </c>
      <c r="AG86" s="194" t="str">
        <f>Odečty!C12</f>
        <v>-</v>
      </c>
      <c r="AH86" s="194">
        <f>Odečty!D12</f>
        <v>-24</v>
      </c>
      <c r="AI86" s="194" t="str">
        <f>Odečty!E12</f>
        <v>-</v>
      </c>
      <c r="AJ86" s="194">
        <f>Odečty!F12</f>
        <v>-25</v>
      </c>
      <c r="AK86" s="194">
        <v>1</v>
      </c>
      <c r="AL86" s="187"/>
      <c r="AM86" s="187"/>
    </row>
    <row r="87" spans="1:40" x14ac:dyDescent="0.25">
      <c r="A87">
        <f>IF(U14=1,IF(G79=2,I79,IF(G80=2,I80,IF(G81=2,I81,IF(G82=2,I82,IF(G83=2,I83,IF(G84=2,I84,IF(G85=2,I85,0))))))),0)</f>
        <v>0</v>
      </c>
      <c r="B87" t="str">
        <f>IF(U14=1,IF(G79=2,I79,IF(G80=2,I80,IF(G81=2,I81,IF(G82=2,I82,IF(G83=2,I83,IF(G84=2,I84,IF(G85=2,I85,"nevyhovuje žádný SET"))))))),"nevyhovuje žádný SET")</f>
        <v>nevyhovuje žádný SET</v>
      </c>
      <c r="C87" t="str">
        <f>IF(U14=1,IF(G79=2,J79,IF(G80=2,J80,IF(G81=2,J81,IF(G82=2,J82,IF(G83=2,J83,IF(G84=2,J84,IF(G85=2,J85," ")))))))," ")</f>
        <v xml:space="preserve"> </v>
      </c>
      <c r="D87" t="str">
        <f>IF(U14=1,IF(G79=2,"nebo Ne",IF(G80=2,"nebo Ne",IF(G81=2,"nebo Ne",IF(G82=2,"nebo Ne",IF(G83=2,"nebo Ne",IF(G84=2,"nebo Ne",IF(G85=2,"nebo Ne"," ")))))))," ")</f>
        <v xml:space="preserve"> </v>
      </c>
      <c r="F87" t="str">
        <f>IF(U14=1,IF(G79=2,M79,IF(G80=2,M80,IF(G81=2,M81,IF(G82=2,M82,IF(G83=2,M83,IF(G84=2,M84,IF(G85=2,M85," ")))))))," ")</f>
        <v xml:space="preserve"> </v>
      </c>
      <c r="G87" t="str">
        <f>IF(U14=1,IF(G79=2,N79,IF(G80=2,N80,IF(G81=2,N81,IF(G82=2,N82,IF(G83=2,N83,IF(G84=2,N84,IF(G85=2,N85," ")))))))," ")</f>
        <v xml:space="preserve"> </v>
      </c>
      <c r="Z87">
        <v>111</v>
      </c>
      <c r="AA87" s="90" t="s">
        <v>520</v>
      </c>
      <c r="AB87" s="179" t="e">
        <f t="shared" si="16"/>
        <v>#N/A</v>
      </c>
      <c r="AC87" s="91" t="e">
        <f t="shared" si="17"/>
        <v>#N/A</v>
      </c>
      <c r="AD87" s="91" t="e">
        <f t="shared" si="18"/>
        <v>#N/A</v>
      </c>
      <c r="AE87" s="191" t="s">
        <v>208</v>
      </c>
      <c r="AF87" s="194" t="str">
        <f>Odečty!B12</f>
        <v>-</v>
      </c>
      <c r="AG87" s="194" t="str">
        <f>Odečty!C12</f>
        <v>-</v>
      </c>
      <c r="AH87" s="194">
        <f>Odečty!D12</f>
        <v>-24</v>
      </c>
      <c r="AI87" s="194" t="str">
        <f>Odečty!E12</f>
        <v>-</v>
      </c>
      <c r="AJ87" s="194">
        <f>Odečty!F12</f>
        <v>-25</v>
      </c>
      <c r="AK87" s="194">
        <v>1</v>
      </c>
      <c r="AL87" s="187"/>
      <c r="AM87" s="187"/>
    </row>
    <row r="88" spans="1:40" ht="13.8" thickBot="1" x14ac:dyDescent="0.3">
      <c r="B88" t="str">
        <f>IF(U14=1,IF(G86=2,I86,"nevyhovuje žádný SET"),"nevyhovuje žádný SET")</f>
        <v>nevyhovuje žádný SET</v>
      </c>
      <c r="C88" t="str">
        <f>IF(U14=1,IF(G86=2,J86," ")," ")</f>
        <v xml:space="preserve"> </v>
      </c>
      <c r="D88" t="str">
        <f>IF(U14=1,IF(G86=2,"nebo Ne"," ")," ")</f>
        <v xml:space="preserve"> </v>
      </c>
      <c r="F88" t="str">
        <f>IF(U14=1,IF(G86=2,M86," ")," ")</f>
        <v xml:space="preserve"> </v>
      </c>
      <c r="G88" t="str">
        <f>IF(U14=1,IF(G86=2,N86," ")," ")</f>
        <v xml:space="preserve"> </v>
      </c>
      <c r="Z88">
        <v>111</v>
      </c>
      <c r="AA88" s="90" t="s">
        <v>521</v>
      </c>
      <c r="AB88" s="179" t="str">
        <f t="shared" si="16"/>
        <v>Osłona listwy mask. z uskokiem alum.plas</v>
      </c>
      <c r="AC88" s="91">
        <f t="shared" si="17"/>
        <v>39.494030000000002</v>
      </c>
      <c r="AD88" s="91">
        <f t="shared" si="18"/>
        <v>39.494030000000002</v>
      </c>
      <c r="AE88" s="191" t="s">
        <v>209</v>
      </c>
      <c r="AF88" s="194" t="str">
        <f>Odečty!B12</f>
        <v>-</v>
      </c>
      <c r="AG88" s="194" t="str">
        <f>Odečty!C12</f>
        <v>-</v>
      </c>
      <c r="AH88" s="194">
        <f>Odečty!D12</f>
        <v>-24</v>
      </c>
      <c r="AI88" s="194" t="str">
        <f>Odečty!E12</f>
        <v>-</v>
      </c>
      <c r="AJ88" s="194">
        <f>Odečty!F12</f>
        <v>-25</v>
      </c>
      <c r="AK88" s="194">
        <v>1</v>
      </c>
      <c r="AL88" s="187"/>
      <c r="AM88" s="187"/>
    </row>
    <row r="89" spans="1:40" ht="20.399999999999999" x14ac:dyDescent="0.35">
      <c r="A89" s="34" t="s">
        <v>106</v>
      </c>
      <c r="B89" s="28"/>
      <c r="C89" s="28"/>
      <c r="D89" s="28">
        <v>170</v>
      </c>
      <c r="E89" s="28" t="s">
        <v>110</v>
      </c>
      <c r="F89" s="28"/>
      <c r="G89" s="28"/>
      <c r="H89" s="28"/>
      <c r="I89" s="28"/>
      <c r="J89" s="28"/>
      <c r="K89" s="29"/>
      <c r="Z89">
        <v>111</v>
      </c>
      <c r="AA89" s="90" t="s">
        <v>522</v>
      </c>
      <c r="AB89" s="179" t="e">
        <f t="shared" si="16"/>
        <v>#N/A</v>
      </c>
      <c r="AC89" s="91" t="e">
        <f t="shared" si="17"/>
        <v>#N/A</v>
      </c>
      <c r="AD89" s="91" t="e">
        <f t="shared" si="18"/>
        <v>#N/A</v>
      </c>
      <c r="AE89" s="191" t="s">
        <v>210</v>
      </c>
      <c r="AF89" s="194" t="str">
        <f>Odečty!B12</f>
        <v>-</v>
      </c>
      <c r="AG89" s="194" t="str">
        <f>Odečty!C12</f>
        <v>-</v>
      </c>
      <c r="AH89" s="194">
        <f>Odečty!D12</f>
        <v>-24</v>
      </c>
      <c r="AI89" s="194" t="str">
        <f>Odečty!E12</f>
        <v>-</v>
      </c>
      <c r="AJ89" s="194">
        <f>Odečty!F12</f>
        <v>-25</v>
      </c>
      <c r="AK89" s="194">
        <v>1</v>
      </c>
      <c r="AL89" s="187"/>
      <c r="AM89" s="187"/>
    </row>
    <row r="90" spans="1:40" ht="20.399999999999999" x14ac:dyDescent="0.35">
      <c r="A90" s="35"/>
      <c r="G90" t="s">
        <v>111</v>
      </c>
      <c r="K90" s="31"/>
      <c r="Z90">
        <v>11</v>
      </c>
      <c r="AA90" s="90" t="s">
        <v>523</v>
      </c>
      <c r="AB90" s="179" t="str">
        <f t="shared" si="16"/>
        <v>Taśma klejąca, 50m w rolce</v>
      </c>
      <c r="AC90" s="91">
        <f t="shared" si="17"/>
        <v>167.18084999999999</v>
      </c>
      <c r="AD90" s="91">
        <f t="shared" si="18"/>
        <v>167.18084999999999</v>
      </c>
      <c r="AE90" s="191" t="s">
        <v>211</v>
      </c>
      <c r="AF90" s="194"/>
      <c r="AG90" s="194"/>
      <c r="AH90" s="194"/>
      <c r="AI90" s="194"/>
      <c r="AJ90" s="194"/>
      <c r="AK90" s="194"/>
      <c r="AL90" s="187"/>
      <c r="AM90" s="187"/>
    </row>
    <row r="91" spans="1:40" ht="13.8" thickBot="1" x14ac:dyDescent="0.3">
      <c r="A91" s="30" t="s">
        <v>107</v>
      </c>
      <c r="C91" t="s">
        <v>108</v>
      </c>
      <c r="D91" t="s">
        <v>109</v>
      </c>
      <c r="E91" t="s">
        <v>112</v>
      </c>
      <c r="F91" t="s">
        <v>113</v>
      </c>
      <c r="G91" t="s">
        <v>115</v>
      </c>
      <c r="H91" t="s">
        <v>116</v>
      </c>
      <c r="K91" s="31" t="s">
        <v>65</v>
      </c>
      <c r="M91" t="s">
        <v>391</v>
      </c>
      <c r="Z91">
        <v>59.5</v>
      </c>
      <c r="AA91" s="90" t="str">
        <f>IF(Y4=17,AA243,"R92834")</f>
        <v>R92834</v>
      </c>
      <c r="AB91" s="179" t="str">
        <f t="shared" si="16"/>
        <v>Roletowy profil Metal-line 20mm ALU 230L</v>
      </c>
      <c r="AC91" s="91">
        <f t="shared" si="17"/>
        <v>19.759789999999999</v>
      </c>
      <c r="AD91" s="91">
        <f t="shared" si="18"/>
        <v>19.759789999999999</v>
      </c>
      <c r="AE91" s="191" t="s">
        <v>212</v>
      </c>
      <c r="AF91" s="194">
        <f>Odečty!B9</f>
        <v>-12</v>
      </c>
      <c r="AG91" s="194">
        <f>Odečty!C9</f>
        <v>11</v>
      </c>
      <c r="AH91" s="194">
        <f>Odečty!D9</f>
        <v>-12</v>
      </c>
      <c r="AI91" s="194">
        <f>Odečty!E9</f>
        <v>-12</v>
      </c>
      <c r="AJ91" s="194">
        <f>Odečty!F9</f>
        <v>-14</v>
      </c>
      <c r="AK91" s="194">
        <v>1</v>
      </c>
      <c r="AL91" s="187"/>
      <c r="AM91" s="187"/>
    </row>
    <row r="92" spans="1:40" ht="13.8" thickBot="1" x14ac:dyDescent="0.3">
      <c r="A92" s="30" t="s">
        <v>595</v>
      </c>
      <c r="C92" t="s">
        <v>425</v>
      </c>
      <c r="D92" s="42">
        <f>K92</f>
        <v>620.73266999999998</v>
      </c>
      <c r="E92">
        <f t="shared" ref="E92:E108" si="23">IF(SMER=1,1,0)</f>
        <v>1</v>
      </c>
      <c r="F92">
        <f>IF(Titulní!$B$11&gt;420,0,IF(Titulní!$B$11&lt;386,0,1))</f>
        <v>0</v>
      </c>
      <c r="G92" s="24">
        <f>IF(Titulní!$B$9&gt;1900,0,IF(Titulní!$B$9&lt;600,0,1))</f>
        <v>0</v>
      </c>
      <c r="H92">
        <f>G92+F92+E92</f>
        <v>1</v>
      </c>
      <c r="K92" s="31">
        <f>L92*$F$31</f>
        <v>620.73266999999998</v>
      </c>
      <c r="L92">
        <f>AD185</f>
        <v>620.73266999999998</v>
      </c>
      <c r="M92">
        <f t="shared" ref="M92:M108" si="24">L92*$AB$1</f>
        <v>620.73266999999998</v>
      </c>
      <c r="N92" s="180"/>
      <c r="O92" s="181"/>
      <c r="P92" s="181" t="s">
        <v>425</v>
      </c>
      <c r="Z92">
        <v>59.5</v>
      </c>
      <c r="AA92" s="90" t="str">
        <f>IF(Y4=18,AA244,"R88218")</f>
        <v>R88218</v>
      </c>
      <c r="AB92" s="179" t="str">
        <f t="shared" si="16"/>
        <v>Roletowy profil Matal-line 20mm nierdz 3</v>
      </c>
      <c r="AC92" s="91">
        <f t="shared" si="17"/>
        <v>20.679410000000001</v>
      </c>
      <c r="AD92" s="91">
        <f t="shared" si="18"/>
        <v>20.679410000000001</v>
      </c>
      <c r="AE92" s="191" t="s">
        <v>213</v>
      </c>
      <c r="AF92" s="194">
        <f>Odečty!B9</f>
        <v>-12</v>
      </c>
      <c r="AG92" s="194">
        <f>Odečty!C9</f>
        <v>11</v>
      </c>
      <c r="AH92" s="194">
        <f>Odečty!D9</f>
        <v>-12</v>
      </c>
      <c r="AI92" s="194">
        <f>Odečty!E9</f>
        <v>-12</v>
      </c>
      <c r="AJ92" s="194">
        <f>Odečty!F9</f>
        <v>-14</v>
      </c>
      <c r="AK92" s="194">
        <v>1</v>
      </c>
      <c r="AL92" s="187"/>
      <c r="AM92" s="187"/>
    </row>
    <row r="93" spans="1:40" ht="13.8" thickBot="1" x14ac:dyDescent="0.3">
      <c r="A93" s="30" t="s">
        <v>1183</v>
      </c>
      <c r="C93" t="s">
        <v>427</v>
      </c>
      <c r="D93" s="42">
        <f t="shared" ref="D93:D108" si="25">K93</f>
        <v>725.87396999999999</v>
      </c>
      <c r="E93">
        <f t="shared" si="23"/>
        <v>1</v>
      </c>
      <c r="F93">
        <f>IF(Titulní!$B$11&gt;585,0,IF(Titulní!$B$11&lt;421,0,1))</f>
        <v>0</v>
      </c>
      <c r="G93" s="24">
        <f>IF(Titulní!$B$9&gt;1900,0,IF(Titulní!$B$9&lt;600,0,1))</f>
        <v>0</v>
      </c>
      <c r="H93">
        <f t="shared" ref="H93:H108" si="26">G93+F93+E93</f>
        <v>1</v>
      </c>
      <c r="K93" s="31">
        <f t="shared" ref="K93:K105" si="27">L93*$F$31</f>
        <v>725.87396999999999</v>
      </c>
      <c r="L93">
        <f>L92+$F$31*AC3</f>
        <v>725.87396999999999</v>
      </c>
      <c r="M93">
        <f t="shared" si="24"/>
        <v>725.87396999999999</v>
      </c>
      <c r="N93" s="180"/>
      <c r="O93" s="181" t="s">
        <v>442</v>
      </c>
      <c r="P93" s="181" t="s">
        <v>427</v>
      </c>
      <c r="Z93">
        <v>0</v>
      </c>
      <c r="AA93" s="90" t="s">
        <v>214</v>
      </c>
      <c r="AB93" s="90" t="s">
        <v>215</v>
      </c>
      <c r="AC93" s="91">
        <f t="shared" si="17"/>
        <v>0</v>
      </c>
      <c r="AD93" s="91"/>
      <c r="AE93" s="191" t="s">
        <v>214</v>
      </c>
      <c r="AF93" s="194"/>
      <c r="AG93" s="194"/>
      <c r="AH93" s="194"/>
      <c r="AI93" s="194"/>
      <c r="AJ93" s="194"/>
      <c r="AK93" s="194"/>
      <c r="AL93" s="187"/>
      <c r="AM93" s="187"/>
    </row>
    <row r="94" spans="1:40" ht="13.8" thickBot="1" x14ac:dyDescent="0.3">
      <c r="A94" s="30" t="s">
        <v>591</v>
      </c>
      <c r="C94" t="s">
        <v>336</v>
      </c>
      <c r="D94" s="42">
        <f t="shared" si="25"/>
        <v>617.58573000000001</v>
      </c>
      <c r="E94">
        <f t="shared" si="23"/>
        <v>1</v>
      </c>
      <c r="F94">
        <f>IF(Titulní!$B$11&gt;620,0,IF(Titulní!$B$11&lt;586,0,1))</f>
        <v>0</v>
      </c>
      <c r="G94" s="24">
        <f>IF(Titulní!$B$9&gt;2200,0,IF(Titulní!$B$9&lt;600,0,1))</f>
        <v>0</v>
      </c>
      <c r="H94">
        <f t="shared" si="26"/>
        <v>1</v>
      </c>
      <c r="K94" s="31">
        <f t="shared" si="27"/>
        <v>617.58573000000001</v>
      </c>
      <c r="L94">
        <f>AD181</f>
        <v>617.58573000000001</v>
      </c>
      <c r="M94">
        <f t="shared" si="24"/>
        <v>617.58573000000001</v>
      </c>
      <c r="N94" s="180"/>
      <c r="O94" s="181"/>
      <c r="P94" s="181" t="s">
        <v>336</v>
      </c>
      <c r="Z94">
        <v>4959</v>
      </c>
      <c r="AA94" s="90" t="s">
        <v>216</v>
      </c>
      <c r="AB94" s="90" t="s">
        <v>217</v>
      </c>
      <c r="AC94" s="91">
        <f t="shared" si="17"/>
        <v>0</v>
      </c>
      <c r="AD94" s="91"/>
      <c r="AE94" s="191" t="s">
        <v>216</v>
      </c>
      <c r="AF94" s="194"/>
      <c r="AG94" s="194"/>
      <c r="AH94" s="194"/>
      <c r="AI94" s="194"/>
      <c r="AJ94" s="194"/>
      <c r="AK94" s="194"/>
      <c r="AL94" s="187"/>
      <c r="AM94" s="187"/>
      <c r="AN94" s="168"/>
    </row>
    <row r="95" spans="1:40" ht="13.8" thickBot="1" x14ac:dyDescent="0.3">
      <c r="A95" s="30" t="s">
        <v>1184</v>
      </c>
      <c r="C95" t="s">
        <v>337</v>
      </c>
      <c r="D95" s="42">
        <f t="shared" si="25"/>
        <v>722.72703000000001</v>
      </c>
      <c r="E95">
        <f t="shared" si="23"/>
        <v>1</v>
      </c>
      <c r="F95">
        <f>IF(Titulní!$B$11&gt;785,0,IF(Titulní!$B$11&lt;621,0,1))</f>
        <v>0</v>
      </c>
      <c r="G95" s="24">
        <f>IF(Titulní!$B$9&gt;2200,0,IF(Titulní!$B$9&lt;600,0,1))</f>
        <v>0</v>
      </c>
      <c r="H95">
        <f t="shared" si="26"/>
        <v>1</v>
      </c>
      <c r="K95" s="31">
        <f t="shared" si="27"/>
        <v>722.72703000000001</v>
      </c>
      <c r="L95">
        <f>L94+$F$31*AC3</f>
        <v>722.72703000000001</v>
      </c>
      <c r="M95">
        <f t="shared" si="24"/>
        <v>722.72703000000001</v>
      </c>
      <c r="N95" s="180"/>
      <c r="O95" s="181" t="s">
        <v>442</v>
      </c>
      <c r="P95" s="181" t="s">
        <v>337</v>
      </c>
      <c r="Z95">
        <v>5481</v>
      </c>
      <c r="AA95" s="90" t="s">
        <v>218</v>
      </c>
      <c r="AB95" s="90" t="s">
        <v>219</v>
      </c>
      <c r="AC95" s="91">
        <f t="shared" si="17"/>
        <v>0</v>
      </c>
      <c r="AD95" s="91"/>
      <c r="AE95" s="191" t="s">
        <v>218</v>
      </c>
      <c r="AF95" s="194"/>
      <c r="AG95" s="194"/>
      <c r="AH95" s="194"/>
      <c r="AI95" s="194"/>
      <c r="AJ95" s="194"/>
      <c r="AK95" s="194"/>
      <c r="AL95" s="187"/>
      <c r="AM95" s="187"/>
      <c r="AN95" s="168"/>
    </row>
    <row r="96" spans="1:40" ht="13.8" thickBot="1" x14ac:dyDescent="0.3">
      <c r="A96" s="30" t="s">
        <v>592</v>
      </c>
      <c r="C96" t="s">
        <v>338</v>
      </c>
      <c r="D96" s="42">
        <f t="shared" si="25"/>
        <v>653.04493000000002</v>
      </c>
      <c r="E96">
        <f t="shared" si="23"/>
        <v>1</v>
      </c>
      <c r="F96">
        <f>IF(Titulní!$B$11&gt;820,0,IF(Titulní!$B$11&lt;786,0,1))</f>
        <v>0</v>
      </c>
      <c r="G96" s="24">
        <f>IF(Titulní!$B$9&gt;2200,0,IF(Titulní!$B$9&lt;600,0,1))</f>
        <v>0</v>
      </c>
      <c r="H96">
        <f t="shared" si="26"/>
        <v>1</v>
      </c>
      <c r="K96" s="31">
        <f t="shared" si="27"/>
        <v>653.04493000000002</v>
      </c>
      <c r="L96">
        <f>AD182</f>
        <v>653.04493000000002</v>
      </c>
      <c r="M96">
        <f t="shared" si="24"/>
        <v>653.04493000000002</v>
      </c>
      <c r="N96" s="180"/>
      <c r="O96" s="181"/>
      <c r="P96" s="181" t="s">
        <v>338</v>
      </c>
      <c r="Z96">
        <v>5960</v>
      </c>
      <c r="AA96" s="90" t="s">
        <v>220</v>
      </c>
      <c r="AB96" s="90" t="s">
        <v>221</v>
      </c>
      <c r="AC96" s="91">
        <f t="shared" si="17"/>
        <v>0</v>
      </c>
      <c r="AD96" s="91"/>
      <c r="AE96" s="191" t="s">
        <v>220</v>
      </c>
      <c r="AF96" s="194"/>
      <c r="AG96" s="194"/>
      <c r="AH96" s="194"/>
      <c r="AI96" s="194"/>
      <c r="AJ96" s="194"/>
      <c r="AK96" s="194"/>
      <c r="AL96" s="187"/>
      <c r="AM96" s="187"/>
      <c r="AN96" s="168"/>
    </row>
    <row r="97" spans="1:40" ht="13.8" thickBot="1" x14ac:dyDescent="0.3">
      <c r="A97" s="30" t="s">
        <v>1185</v>
      </c>
      <c r="C97" t="s">
        <v>339</v>
      </c>
      <c r="D97" s="42">
        <f t="shared" si="25"/>
        <v>758.18623000000002</v>
      </c>
      <c r="E97">
        <f t="shared" si="23"/>
        <v>1</v>
      </c>
      <c r="F97">
        <f>IF(Titulní!$B$11&gt;985,0,IF(Titulní!$B$11&lt;821,0,1))</f>
        <v>0</v>
      </c>
      <c r="G97" s="24">
        <f>IF(Titulní!$B$9&gt;2200,0,IF(Titulní!$B$9&lt;600,0,1))</f>
        <v>0</v>
      </c>
      <c r="H97">
        <f t="shared" si="26"/>
        <v>1</v>
      </c>
      <c r="K97" s="31">
        <f t="shared" si="27"/>
        <v>758.18623000000002</v>
      </c>
      <c r="L97">
        <f>L96+$F$31*AC3</f>
        <v>758.18623000000002</v>
      </c>
      <c r="M97">
        <f t="shared" si="24"/>
        <v>758.18623000000002</v>
      </c>
      <c r="N97" s="180"/>
      <c r="O97" s="181" t="s">
        <v>442</v>
      </c>
      <c r="P97" s="181" t="s">
        <v>339</v>
      </c>
      <c r="Z97">
        <v>6569</v>
      </c>
      <c r="AA97" s="90" t="s">
        <v>222</v>
      </c>
      <c r="AB97" s="90" t="s">
        <v>221</v>
      </c>
      <c r="AC97" s="91">
        <f t="shared" si="17"/>
        <v>0</v>
      </c>
      <c r="AD97" s="91"/>
      <c r="AE97" s="191" t="s">
        <v>222</v>
      </c>
      <c r="AF97" s="194"/>
      <c r="AG97" s="194"/>
      <c r="AH97" s="194"/>
      <c r="AI97" s="194"/>
      <c r="AJ97" s="194"/>
      <c r="AK97" s="194"/>
      <c r="AL97" s="187"/>
      <c r="AM97" s="187"/>
      <c r="AN97" s="168"/>
    </row>
    <row r="98" spans="1:40" ht="13.8" thickBot="1" x14ac:dyDescent="0.3">
      <c r="A98" s="30" t="s">
        <v>593</v>
      </c>
      <c r="C98" t="s">
        <v>340</v>
      </c>
      <c r="D98" s="42">
        <f t="shared" si="25"/>
        <v>682.26646000000005</v>
      </c>
      <c r="E98">
        <f t="shared" si="23"/>
        <v>1</v>
      </c>
      <c r="F98">
        <f>IF(Titulní!$B$11&gt;1020,0,IF(Titulní!$B$11&lt;986,0,1))</f>
        <v>0</v>
      </c>
      <c r="G98" s="24">
        <f>IF(Titulní!$B$9&gt;2200,0,IF(Titulní!$B$9&lt;600,0,1))</f>
        <v>0</v>
      </c>
      <c r="H98">
        <f t="shared" si="26"/>
        <v>1</v>
      </c>
      <c r="K98" s="31">
        <f t="shared" si="27"/>
        <v>682.26646000000005</v>
      </c>
      <c r="L98">
        <f>AD183</f>
        <v>682.26646000000005</v>
      </c>
      <c r="M98">
        <f t="shared" si="24"/>
        <v>682.26646000000005</v>
      </c>
      <c r="N98" s="180"/>
      <c r="O98" s="181"/>
      <c r="P98" s="181" t="s">
        <v>340</v>
      </c>
      <c r="Z98">
        <v>5177</v>
      </c>
      <c r="AA98" s="90" t="s">
        <v>223</v>
      </c>
      <c r="AB98" s="90" t="s">
        <v>224</v>
      </c>
      <c r="AC98" s="91">
        <f t="shared" si="17"/>
        <v>0</v>
      </c>
      <c r="AD98" s="91"/>
      <c r="AE98" s="191" t="s">
        <v>223</v>
      </c>
      <c r="AF98" s="194"/>
      <c r="AG98" s="194"/>
      <c r="AH98" s="194"/>
      <c r="AI98" s="194"/>
      <c r="AJ98" s="194"/>
      <c r="AK98" s="194"/>
      <c r="AL98" s="187"/>
      <c r="AM98" s="187"/>
      <c r="AN98" s="168"/>
    </row>
    <row r="99" spans="1:40" ht="13.8" thickBot="1" x14ac:dyDescent="0.3">
      <c r="A99" s="30" t="s">
        <v>1186</v>
      </c>
      <c r="C99" t="s">
        <v>341</v>
      </c>
      <c r="D99" s="42">
        <f t="shared" si="25"/>
        <v>787.40776000000005</v>
      </c>
      <c r="E99">
        <f t="shared" si="23"/>
        <v>1</v>
      </c>
      <c r="F99">
        <f>IF(Titulní!$B$11&gt;1185,0,IF(Titulní!$B$11&lt;1021,0,1))</f>
        <v>0</v>
      </c>
      <c r="G99" s="24">
        <f>IF(Titulní!$B$9&gt;2200,0,IF(Titulní!$B$9&lt;600,0,1))</f>
        <v>0</v>
      </c>
      <c r="H99">
        <f t="shared" si="26"/>
        <v>1</v>
      </c>
      <c r="K99" s="31">
        <f t="shared" si="27"/>
        <v>787.40776000000005</v>
      </c>
      <c r="L99">
        <f>L98+$F$31*AC3</f>
        <v>787.40776000000005</v>
      </c>
      <c r="M99">
        <f t="shared" si="24"/>
        <v>787.40776000000005</v>
      </c>
      <c r="N99" s="180"/>
      <c r="O99" s="181" t="s">
        <v>442</v>
      </c>
      <c r="P99" s="181" t="s">
        <v>341</v>
      </c>
      <c r="Z99">
        <v>5699</v>
      </c>
      <c r="AA99" s="90" t="s">
        <v>225</v>
      </c>
      <c r="AB99" s="90" t="s">
        <v>226</v>
      </c>
      <c r="AC99" s="91">
        <f t="shared" si="17"/>
        <v>0</v>
      </c>
      <c r="AD99" s="91"/>
      <c r="AE99" s="191" t="s">
        <v>225</v>
      </c>
      <c r="AF99" s="194"/>
      <c r="AG99" s="194"/>
      <c r="AH99" s="194"/>
      <c r="AI99" s="194"/>
      <c r="AJ99" s="194"/>
      <c r="AK99" s="194"/>
      <c r="AL99" s="187"/>
      <c r="AM99" s="187"/>
      <c r="AN99" s="168"/>
    </row>
    <row r="100" spans="1:40" ht="13.8" thickBot="1" x14ac:dyDescent="0.3">
      <c r="A100" s="30" t="s">
        <v>594</v>
      </c>
      <c r="C100" t="s">
        <v>342</v>
      </c>
      <c r="D100" s="42">
        <f t="shared" si="25"/>
        <v>705.41887999999994</v>
      </c>
      <c r="E100">
        <f t="shared" si="23"/>
        <v>1</v>
      </c>
      <c r="F100">
        <f>IF(Titulní!$B$11&gt;1220,0,IF(Titulní!$B$11&lt;1186,0,1))</f>
        <v>0</v>
      </c>
      <c r="G100" s="24">
        <f>IF(Titulní!$B$9&gt;2200,0,IF(Titulní!$B$9&lt;600,0,1))</f>
        <v>0</v>
      </c>
      <c r="H100">
        <f t="shared" si="26"/>
        <v>1</v>
      </c>
      <c r="K100" s="31">
        <f t="shared" si="27"/>
        <v>705.41887999999994</v>
      </c>
      <c r="L100">
        <f>AD184</f>
        <v>705.41887999999994</v>
      </c>
      <c r="M100">
        <f t="shared" si="24"/>
        <v>705.41887999999994</v>
      </c>
      <c r="N100" s="180"/>
      <c r="O100" s="181"/>
      <c r="P100" s="181" t="s">
        <v>342</v>
      </c>
      <c r="Z100">
        <v>6003</v>
      </c>
      <c r="AA100" s="90" t="s">
        <v>227</v>
      </c>
      <c r="AB100" s="90" t="s">
        <v>228</v>
      </c>
      <c r="AC100" s="91">
        <f t="shared" si="17"/>
        <v>0</v>
      </c>
      <c r="AD100" s="91"/>
      <c r="AE100" s="191" t="s">
        <v>227</v>
      </c>
      <c r="AF100" s="194"/>
      <c r="AG100" s="194"/>
      <c r="AH100" s="194"/>
      <c r="AI100" s="194"/>
      <c r="AJ100" s="194"/>
      <c r="AK100" s="194"/>
      <c r="AL100" s="187"/>
      <c r="AM100" s="187"/>
      <c r="AN100" s="168"/>
    </row>
    <row r="101" spans="1:40" ht="13.8" thickBot="1" x14ac:dyDescent="0.3">
      <c r="A101" s="182" t="s">
        <v>1189</v>
      </c>
      <c r="C101" t="s">
        <v>343</v>
      </c>
      <c r="D101" s="42">
        <f t="shared" si="25"/>
        <v>810.56017999999995</v>
      </c>
      <c r="E101">
        <f t="shared" si="23"/>
        <v>1</v>
      </c>
      <c r="F101">
        <f>IF(Titulní!$B$11&gt;1385,0,IF(Titulní!$B$11&lt;1221,0,1))</f>
        <v>0</v>
      </c>
      <c r="G101" s="24">
        <f>IF(Titulní!$B$9&gt;2200,0,IF(Titulní!$B$9&lt;600,0,1))</f>
        <v>0</v>
      </c>
      <c r="H101">
        <f t="shared" si="26"/>
        <v>1</v>
      </c>
      <c r="K101" s="31">
        <f t="shared" si="27"/>
        <v>810.56017999999995</v>
      </c>
      <c r="L101">
        <f>L100+$F$31*AC3</f>
        <v>810.56017999999995</v>
      </c>
      <c r="M101">
        <f t="shared" si="24"/>
        <v>810.56017999999995</v>
      </c>
      <c r="N101" s="180"/>
      <c r="O101" s="181" t="s">
        <v>442</v>
      </c>
      <c r="P101" s="181" t="s">
        <v>343</v>
      </c>
      <c r="Z101">
        <v>6616</v>
      </c>
      <c r="AA101" s="90" t="s">
        <v>229</v>
      </c>
      <c r="AB101" s="90" t="s">
        <v>230</v>
      </c>
      <c r="AC101" s="91">
        <f t="shared" si="17"/>
        <v>0</v>
      </c>
      <c r="AD101" s="91"/>
      <c r="AE101" s="191" t="s">
        <v>229</v>
      </c>
      <c r="AF101" s="194"/>
      <c r="AG101" s="194"/>
      <c r="AH101" s="194"/>
      <c r="AI101" s="194"/>
      <c r="AJ101" s="194"/>
      <c r="AK101" s="194"/>
      <c r="AL101" s="187"/>
      <c r="AM101" s="187"/>
      <c r="AN101" s="168"/>
    </row>
    <row r="102" spans="1:40" ht="13.8" thickBot="1" x14ac:dyDescent="0.3">
      <c r="A102" s="30" t="s">
        <v>596</v>
      </c>
      <c r="C102" t="s">
        <v>119</v>
      </c>
      <c r="D102" s="42">
        <f t="shared" si="25"/>
        <v>74.031620000000004</v>
      </c>
      <c r="E102">
        <f t="shared" si="23"/>
        <v>1</v>
      </c>
      <c r="F102" s="24">
        <f>IF(Titulní!$B$11&gt;1400,0,IF(Titulní!$B$11&lt;400,0,1))</f>
        <v>0</v>
      </c>
      <c r="G102" s="24">
        <f>IF(Titulní!$B$9&gt;1050,0,IF(Titulní!$B$9&lt;0,0,1))</f>
        <v>1</v>
      </c>
      <c r="H102">
        <f t="shared" si="26"/>
        <v>2</v>
      </c>
      <c r="K102" s="31">
        <f t="shared" si="27"/>
        <v>74.031620000000004</v>
      </c>
      <c r="L102">
        <f>AD186</f>
        <v>74.031620000000004</v>
      </c>
      <c r="M102">
        <f t="shared" si="24"/>
        <v>74.031620000000004</v>
      </c>
      <c r="N102" s="180"/>
      <c r="O102" s="181"/>
      <c r="P102" s="181">
        <f>BO290</f>
        <v>0</v>
      </c>
      <c r="Z102">
        <v>7047</v>
      </c>
      <c r="AA102" s="90" t="s">
        <v>231</v>
      </c>
      <c r="AB102" s="90" t="s">
        <v>232</v>
      </c>
      <c r="AC102" s="91">
        <f t="shared" si="17"/>
        <v>0</v>
      </c>
      <c r="AD102" s="91"/>
      <c r="AE102" s="191" t="s">
        <v>231</v>
      </c>
      <c r="AF102" s="194"/>
      <c r="AG102" s="194"/>
      <c r="AH102" s="194"/>
      <c r="AI102" s="194"/>
      <c r="AJ102" s="194"/>
      <c r="AK102" s="194"/>
      <c r="AL102" s="187"/>
      <c r="AM102" s="187"/>
      <c r="AN102" s="168"/>
    </row>
    <row r="103" spans="1:40" ht="13.8" thickBot="1" x14ac:dyDescent="0.3">
      <c r="A103" s="30" t="s">
        <v>1187</v>
      </c>
      <c r="C103" t="s">
        <v>119</v>
      </c>
      <c r="D103" s="42" t="e">
        <f t="shared" si="25"/>
        <v>#N/A</v>
      </c>
      <c r="E103">
        <f t="shared" si="23"/>
        <v>1</v>
      </c>
      <c r="F103" s="24">
        <f>IF(Titulní!$B$11&gt;1000,0,IF(Titulní!$B$11&lt;20,0,1))</f>
        <v>1</v>
      </c>
      <c r="G103" s="24">
        <f>IF(Titulní!$B$9&gt;1400,0,IF(Titulní!$B$9&lt;20,0,1))</f>
        <v>1</v>
      </c>
      <c r="H103">
        <v>1</v>
      </c>
      <c r="K103" s="31" t="e">
        <f t="shared" si="27"/>
        <v>#N/A</v>
      </c>
      <c r="L103" t="e">
        <f>AD178</f>
        <v>#N/A</v>
      </c>
      <c r="M103" t="e">
        <f t="shared" si="24"/>
        <v>#N/A</v>
      </c>
      <c r="N103" s="180"/>
      <c r="O103" s="181"/>
      <c r="P103" s="181">
        <f>BO290</f>
        <v>0</v>
      </c>
      <c r="Z103">
        <v>7734</v>
      </c>
      <c r="AA103" s="90" t="s">
        <v>233</v>
      </c>
      <c r="AB103" s="90" t="s">
        <v>234</v>
      </c>
      <c r="AC103" s="91">
        <f t="shared" si="17"/>
        <v>0</v>
      </c>
      <c r="AD103" s="91"/>
      <c r="AE103" s="191" t="s">
        <v>233</v>
      </c>
      <c r="AF103" s="194"/>
      <c r="AG103" s="194"/>
      <c r="AH103" s="194"/>
      <c r="AI103" s="194"/>
      <c r="AJ103" s="194"/>
      <c r="AK103" s="194"/>
      <c r="AL103" s="187"/>
      <c r="AM103" s="187"/>
      <c r="AN103" s="168"/>
    </row>
    <row r="104" spans="1:40" ht="13.8" thickBot="1" x14ac:dyDescent="0.3">
      <c r="A104" s="30" t="s">
        <v>1188</v>
      </c>
      <c r="C104" t="s">
        <v>119</v>
      </c>
      <c r="D104" s="42" t="e">
        <f t="shared" si="25"/>
        <v>#N/A</v>
      </c>
      <c r="E104">
        <f t="shared" si="23"/>
        <v>1</v>
      </c>
      <c r="F104" s="24">
        <f>IF(Titulní!$B$11&gt;1000,0,IF(Titulní!$B$11&lt;20,0,1))</f>
        <v>1</v>
      </c>
      <c r="G104" s="24">
        <f>IF(Titulní!$B$9&gt;2000,0,IF(Titulní!$B$9&lt;1400,0,1))</f>
        <v>0</v>
      </c>
      <c r="H104">
        <v>1</v>
      </c>
      <c r="K104" s="31" t="e">
        <f t="shared" si="27"/>
        <v>#N/A</v>
      </c>
      <c r="L104" t="e">
        <f>AD179</f>
        <v>#N/A</v>
      </c>
      <c r="M104" t="e">
        <f t="shared" si="24"/>
        <v>#N/A</v>
      </c>
      <c r="N104" s="180"/>
      <c r="O104" s="181"/>
      <c r="P104" s="181">
        <f>BO290</f>
        <v>0</v>
      </c>
      <c r="Z104">
        <v>6569</v>
      </c>
      <c r="AA104" s="90" t="s">
        <v>235</v>
      </c>
      <c r="AB104" s="90" t="s">
        <v>236</v>
      </c>
      <c r="AC104" s="91">
        <f t="shared" si="17"/>
        <v>0</v>
      </c>
      <c r="AD104" s="91"/>
      <c r="AE104" s="191" t="s">
        <v>235</v>
      </c>
      <c r="AF104" s="194"/>
      <c r="AG104" s="194"/>
      <c r="AH104" s="194"/>
      <c r="AI104" s="194"/>
      <c r="AJ104" s="194"/>
      <c r="AK104" s="194"/>
      <c r="AL104" s="187"/>
      <c r="AM104" s="187"/>
      <c r="AN104" s="168"/>
    </row>
    <row r="105" spans="1:40" ht="13.8" thickBot="1" x14ac:dyDescent="0.3">
      <c r="A105" s="30" t="s">
        <v>125</v>
      </c>
      <c r="C105" t="s">
        <v>119</v>
      </c>
      <c r="D105" s="42" t="e">
        <f t="shared" si="25"/>
        <v>#N/A</v>
      </c>
      <c r="E105">
        <f t="shared" si="23"/>
        <v>1</v>
      </c>
      <c r="F105" s="24">
        <f>IF(Titulní!$B$11&gt;1000,0,IF(Titulní!$B$11&lt;20,0,1))</f>
        <v>1</v>
      </c>
      <c r="G105" s="24">
        <f>IF(Titulní!$B$9&gt;1750,0,IF(Titulní!$B$9&lt;20,0,1))</f>
        <v>1</v>
      </c>
      <c r="H105">
        <f t="shared" si="26"/>
        <v>3</v>
      </c>
      <c r="K105" s="31" t="e">
        <f t="shared" si="27"/>
        <v>#N/A</v>
      </c>
      <c r="L105" t="e">
        <f>AD180</f>
        <v>#N/A</v>
      </c>
      <c r="M105" t="e">
        <f t="shared" si="24"/>
        <v>#N/A</v>
      </c>
      <c r="N105" s="180" t="s">
        <v>125</v>
      </c>
      <c r="O105" s="181"/>
      <c r="P105" s="181">
        <f>BO290</f>
        <v>0</v>
      </c>
      <c r="Z105">
        <v>7265</v>
      </c>
      <c r="AA105" s="90" t="s">
        <v>237</v>
      </c>
      <c r="AB105" s="90" t="s">
        <v>238</v>
      </c>
      <c r="AC105" s="91">
        <f t="shared" si="17"/>
        <v>0</v>
      </c>
      <c r="AD105" s="91"/>
      <c r="AE105" s="191" t="s">
        <v>237</v>
      </c>
      <c r="AF105" s="194"/>
      <c r="AG105" s="194"/>
      <c r="AH105" s="194"/>
      <c r="AI105" s="194"/>
      <c r="AJ105" s="194"/>
      <c r="AK105" s="194"/>
      <c r="AL105" s="187"/>
      <c r="AM105" s="187"/>
      <c r="AN105" s="168"/>
    </row>
    <row r="106" spans="1:40" x14ac:dyDescent="0.25">
      <c r="A106" s="30" t="s">
        <v>114</v>
      </c>
      <c r="C106" t="s">
        <v>119</v>
      </c>
      <c r="D106" s="141">
        <f t="shared" si="25"/>
        <v>18.350619999999999</v>
      </c>
      <c r="E106">
        <f t="shared" si="23"/>
        <v>1</v>
      </c>
      <c r="F106" s="24">
        <f>IF(Titulní!$B$11&gt;1000,0,IF(Titulní!$B$11&lt;20,0,1))</f>
        <v>1</v>
      </c>
      <c r="G106" s="24">
        <f>IF(Titulní!$B$9&gt;1050,0,IF(Titulní!$B$9&lt;20,0,1))</f>
        <v>1</v>
      </c>
      <c r="H106">
        <f t="shared" si="26"/>
        <v>3</v>
      </c>
      <c r="K106" s="31">
        <f>L106*$F$31</f>
        <v>18.350619999999999</v>
      </c>
      <c r="L106">
        <f>AD18</f>
        <v>18.350619999999999</v>
      </c>
      <c r="M106">
        <f t="shared" si="24"/>
        <v>18.350619999999999</v>
      </c>
      <c r="N106" s="180" t="s">
        <v>114</v>
      </c>
      <c r="O106" s="181"/>
      <c r="P106" s="181">
        <f>BO290</f>
        <v>0</v>
      </c>
      <c r="Z106">
        <v>6830</v>
      </c>
      <c r="AA106" s="90" t="s">
        <v>239</v>
      </c>
      <c r="AB106" s="90" t="s">
        <v>240</v>
      </c>
      <c r="AC106" s="91">
        <f t="shared" si="17"/>
        <v>0</v>
      </c>
      <c r="AD106" s="91"/>
      <c r="AE106" s="191" t="s">
        <v>239</v>
      </c>
      <c r="AF106" s="194"/>
      <c r="AG106" s="194"/>
      <c r="AH106" s="194"/>
      <c r="AI106" s="194"/>
      <c r="AJ106" s="194"/>
      <c r="AK106" s="194"/>
      <c r="AL106" s="187"/>
      <c r="AM106" s="187"/>
      <c r="AN106" s="168"/>
    </row>
    <row r="107" spans="1:40" x14ac:dyDescent="0.25">
      <c r="A107" s="30" t="s">
        <v>428</v>
      </c>
      <c r="B107" t="s">
        <v>407</v>
      </c>
      <c r="C107" t="s">
        <v>119</v>
      </c>
      <c r="D107" s="144">
        <f t="shared" si="25"/>
        <v>0</v>
      </c>
      <c r="E107">
        <f t="shared" si="23"/>
        <v>1</v>
      </c>
      <c r="F107">
        <f>IF(Titulní!$B$11&gt;1000,0,IF(Titulní!$B$11&lt;400,0,1))</f>
        <v>0</v>
      </c>
      <c r="G107" s="24">
        <f>IF(Titulní!$B$9&gt;1400,0,IF(Titulní!$B$9&lt;400,0,1))</f>
        <v>0</v>
      </c>
      <c r="H107">
        <f t="shared" si="26"/>
        <v>1</v>
      </c>
      <c r="K107" s="31">
        <f>L107*$F$31</f>
        <v>0</v>
      </c>
      <c r="L107">
        <f>AD229</f>
        <v>0</v>
      </c>
      <c r="M107">
        <f t="shared" si="24"/>
        <v>0</v>
      </c>
      <c r="Z107">
        <v>7525</v>
      </c>
      <c r="AA107" s="90" t="s">
        <v>241</v>
      </c>
      <c r="AB107" s="90" t="s">
        <v>242</v>
      </c>
      <c r="AC107" s="91">
        <f t="shared" si="17"/>
        <v>0</v>
      </c>
      <c r="AD107" s="91"/>
      <c r="AE107" s="191" t="s">
        <v>241</v>
      </c>
      <c r="AF107" s="194"/>
      <c r="AG107" s="194"/>
      <c r="AH107" s="194"/>
      <c r="AI107" s="194"/>
      <c r="AJ107" s="194"/>
      <c r="AK107" s="194"/>
      <c r="AL107" s="187"/>
      <c r="AM107" s="187"/>
      <c r="AN107" s="168"/>
    </row>
    <row r="108" spans="1:40" x14ac:dyDescent="0.25">
      <c r="A108" s="142" t="s">
        <v>429</v>
      </c>
      <c r="B108" s="121"/>
      <c r="C108" s="121" t="s">
        <v>119</v>
      </c>
      <c r="D108" s="144">
        <f t="shared" si="25"/>
        <v>0</v>
      </c>
      <c r="E108" s="121">
        <f t="shared" si="23"/>
        <v>1</v>
      </c>
      <c r="F108" s="121">
        <f>IF(Titulní!$B$11&gt;1000,0,IF(Titulní!$B$11&lt;400,0,1))</f>
        <v>0</v>
      </c>
      <c r="G108" s="143">
        <f>IF(Titulní!$B$9&gt;2000,0,IF(Titulní!$B$9&lt;1000,0,1))</f>
        <v>0</v>
      </c>
      <c r="H108" s="121">
        <f t="shared" si="26"/>
        <v>1</v>
      </c>
      <c r="I108" s="121"/>
      <c r="J108" s="121"/>
      <c r="K108" s="31">
        <f>L108*$F$31</f>
        <v>0</v>
      </c>
      <c r="L108">
        <f>AD230</f>
        <v>0</v>
      </c>
      <c r="M108">
        <f t="shared" si="24"/>
        <v>0</v>
      </c>
      <c r="Z108">
        <v>8396</v>
      </c>
      <c r="AA108" s="90" t="s">
        <v>243</v>
      </c>
      <c r="AB108" s="90" t="s">
        <v>244</v>
      </c>
      <c r="AC108" s="91">
        <f t="shared" si="17"/>
        <v>0</v>
      </c>
      <c r="AD108" s="91"/>
      <c r="AE108" s="191" t="s">
        <v>243</v>
      </c>
      <c r="AF108" s="194"/>
      <c r="AG108" s="194"/>
      <c r="AH108" s="194"/>
      <c r="AI108" s="194"/>
      <c r="AJ108" s="194"/>
      <c r="AK108" s="194"/>
      <c r="AL108" s="187"/>
      <c r="AM108" s="187"/>
      <c r="AN108" s="168"/>
    </row>
    <row r="109" spans="1:40" ht="13.8" thickBot="1" x14ac:dyDescent="0.3">
      <c r="A109" s="30" t="s">
        <v>118</v>
      </c>
      <c r="Z109">
        <v>9222</v>
      </c>
      <c r="AA109" s="90" t="s">
        <v>245</v>
      </c>
      <c r="AB109" s="90" t="s">
        <v>246</v>
      </c>
      <c r="AC109" s="91">
        <f t="shared" si="17"/>
        <v>0</v>
      </c>
      <c r="AD109" s="91"/>
      <c r="AE109" s="191" t="s">
        <v>245</v>
      </c>
      <c r="AF109" s="194"/>
      <c r="AG109" s="194"/>
      <c r="AH109" s="194"/>
      <c r="AI109" s="194"/>
      <c r="AJ109" s="194"/>
      <c r="AK109" s="194"/>
      <c r="AL109" s="187"/>
      <c r="AM109" s="187"/>
      <c r="AN109" s="168"/>
    </row>
    <row r="110" spans="1:40" x14ac:dyDescent="0.25">
      <c r="A110" s="26">
        <f>IF(výpočty!$H$92=3,výpočty!A92,IF(výpočty!$H$93=3,výpočty!A93,IF(výpočty!$H$94=3,výpočty!A94,IF(výpočty!$H$95=3,výpočty!A95,IF(výpočty!$H$96=3,výpočty!A96,IF(výpočty!$H$97=3,výpočty!A97,IF(výpočty!$H$98=3,výpočty!A98,IF(výpočty!$H$99=3,výpočty!A99,0))))))))</f>
        <v>0</v>
      </c>
      <c r="B110" s="28"/>
      <c r="C110" s="26">
        <f>IF(výpočty!$H$92=3,výpočty!C92,IF(výpočty!$H$93=3,výpočty!C93,IF(výpočty!$H$94=3,výpočty!C94,IF(výpočty!$H$95=3,výpočty!C95,IF(výpočty!$H$96=3,výpočty!C96,IF(výpočty!$H$97=3,výpočty!C97,IF(výpočty!$H$98=3,výpočty!C98,IF(výpočty!$H$99=3,výpočty!C99,0))))))))</f>
        <v>0</v>
      </c>
      <c r="D110" s="37">
        <f>IF(výpočty!$H$92=3,výpočty!D92,IF(výpočty!$H$93=3,výpočty!D93,IF(výpočty!$H$94=3,výpočty!D94,IF(výpočty!$H$95=3,výpočty!D95,IF(výpočty!$H$96=3,výpočty!D96,IF(výpočty!$H$97=3,výpočty!D97,IF(výpočty!$H$98=3,výpočty!D98,IF(výpočty!$H$99=3,výpočty!D99,0))))))))</f>
        <v>0</v>
      </c>
      <c r="G110" s="24"/>
      <c r="Z110">
        <v>80</v>
      </c>
      <c r="AA110" s="90" t="s">
        <v>526</v>
      </c>
      <c r="AB110" s="179" t="e">
        <f>VLOOKUP(AA110,$Z$246:$AJ$508,(1+$AE$1),0)</f>
        <v>#N/A</v>
      </c>
      <c r="AC110" s="91" t="e">
        <f t="shared" si="17"/>
        <v>#N/A</v>
      </c>
      <c r="AD110" s="91" t="e">
        <f>VLOOKUP(AA110,$Z$246:$AJ$508,(5+$AE$1),0)</f>
        <v>#N/A</v>
      </c>
      <c r="AE110" s="191" t="s">
        <v>247</v>
      </c>
      <c r="AF110" s="194">
        <f>Odečty!B8</f>
        <v>-9</v>
      </c>
      <c r="AG110" s="194">
        <f>Odečty!C8</f>
        <v>14</v>
      </c>
      <c r="AH110" s="194">
        <f>Odečty!D8</f>
        <v>-9</v>
      </c>
      <c r="AI110" s="194">
        <f>Odečty!E8</f>
        <v>-9</v>
      </c>
      <c r="AJ110" s="194">
        <f>Odečty!F8</f>
        <v>-11</v>
      </c>
      <c r="AK110" s="194">
        <v>1</v>
      </c>
      <c r="AL110" s="187"/>
      <c r="AM110" s="187"/>
    </row>
    <row r="111" spans="1:40" ht="13.8" thickBot="1" x14ac:dyDescent="0.3">
      <c r="A111" s="27" t="str">
        <f>IF(výpočty!$H$100=3,výpočty!A100,IF(výpočty!$H$101=3,výpočty!A101,Překlady!A92))</f>
        <v>nie można zastosować mech.rolet. C3</v>
      </c>
      <c r="B111" s="27"/>
      <c r="C111" s="27" t="str">
        <f>IF(výpočty!$H$100=3,výpočty!C100,IF(výpočty!$H$101=3,výpočty!C101,Překlady!A92))</f>
        <v>nie można zastosować mech.rolet. C3</v>
      </c>
      <c r="D111" s="27" t="str">
        <f>IF(výpočty!$H$100=3,výpočty!D100,IF(výpočty!$H$101=3,výpočty!D101,Překlady!A92))</f>
        <v>nie można zastosować mech.rolet. C3</v>
      </c>
      <c r="G111" s="24"/>
      <c r="Z111">
        <v>0</v>
      </c>
      <c r="AA111" s="90"/>
      <c r="AB111" s="90"/>
      <c r="AC111" s="91"/>
      <c r="AD111" s="91"/>
      <c r="AE111" s="191"/>
      <c r="AF111" s="194"/>
      <c r="AG111" s="194"/>
      <c r="AH111" s="194"/>
      <c r="AI111" s="194"/>
      <c r="AJ111" s="194"/>
      <c r="AK111" s="194"/>
      <c r="AL111" s="187"/>
      <c r="AM111" s="187"/>
    </row>
    <row r="112" spans="1:40" x14ac:dyDescent="0.25">
      <c r="A112" s="36" t="str">
        <f>IF(výpočty!$H$102=3,výpočty!A102,"")</f>
        <v/>
      </c>
      <c r="C112" s="36" t="str">
        <f>IF(výpočty!$H$102=3,výpočty!C102,"")</f>
        <v/>
      </c>
      <c r="D112" s="38" t="str">
        <f>IF(výpočty!$H$102=3,výpočty!D102,"")</f>
        <v/>
      </c>
      <c r="F112" s="24"/>
      <c r="G112" s="24"/>
      <c r="Z112">
        <v>58</v>
      </c>
      <c r="AA112" s="90" t="s">
        <v>527</v>
      </c>
      <c r="AB112" s="179" t="str">
        <f t="shared" ref="AB112:AB143" si="28">VLOOKUP(AA112,$Z$246:$AJ$508,(1+$AE$1),0)</f>
        <v>Roletowy profil E23 biały</v>
      </c>
      <c r="AC112" s="91">
        <f t="shared" ref="AC112:AC143" si="29">$AB$1*AD112</f>
        <v>19.28388</v>
      </c>
      <c r="AD112" s="91">
        <f t="shared" ref="AD112:AD143" si="30">VLOOKUP(AA112,$Z$246:$AJ$508,(5+$AE$1),0)</f>
        <v>19.28388</v>
      </c>
      <c r="AE112" s="191" t="s">
        <v>248</v>
      </c>
      <c r="AF112" s="194">
        <f>Odečty!B8</f>
        <v>-9</v>
      </c>
      <c r="AG112" s="194">
        <f>Odečty!C8</f>
        <v>14</v>
      </c>
      <c r="AH112" s="194">
        <f>Odečty!D8</f>
        <v>-9</v>
      </c>
      <c r="AI112" s="194">
        <f>Odečty!E8</f>
        <v>-9</v>
      </c>
      <c r="AJ112" s="194">
        <f>Odečty!F8</f>
        <v>-11</v>
      </c>
      <c r="AK112" s="194">
        <v>1</v>
      </c>
      <c r="AL112" s="187"/>
      <c r="AM112" s="187"/>
    </row>
    <row r="113" spans="1:39" x14ac:dyDescent="0.25">
      <c r="A113" s="36" t="str">
        <f>IF(výpočty!$H$103=3,výpočty!A103,IF(výpočty!$H$104=3,výpočty!A104,""))</f>
        <v/>
      </c>
      <c r="C113" s="36" t="str">
        <f>IF(výpočty!$H$103=3,výpočty!C103,IF(výpočty!$H$104=3,výpočty!C104,""))</f>
        <v/>
      </c>
      <c r="D113" s="38" t="str">
        <f>IF(výpočty!$H$103=3,výpočty!D103,IF(výpočty!$H$104=3,výpočty!D104,""))</f>
        <v/>
      </c>
      <c r="F113" s="24"/>
      <c r="G113" s="24"/>
      <c r="Z113">
        <v>65</v>
      </c>
      <c r="AA113" s="90" t="s">
        <v>528</v>
      </c>
      <c r="AB113" s="179" t="str">
        <f t="shared" si="28"/>
        <v>Roletowy profil E23 brzoza</v>
      </c>
      <c r="AC113" s="91">
        <f t="shared" si="29"/>
        <v>21.09207</v>
      </c>
      <c r="AD113" s="91">
        <f t="shared" si="30"/>
        <v>21.09207</v>
      </c>
      <c r="AE113" s="191" t="s">
        <v>249</v>
      </c>
      <c r="AF113" s="194">
        <f>Odečty!B8</f>
        <v>-9</v>
      </c>
      <c r="AG113" s="194">
        <f>Odečty!C8</f>
        <v>14</v>
      </c>
      <c r="AH113" s="194">
        <f>Odečty!D8</f>
        <v>-9</v>
      </c>
      <c r="AI113" s="194">
        <f>Odečty!E8</f>
        <v>-9</v>
      </c>
      <c r="AJ113" s="194">
        <f>Odečty!F8</f>
        <v>-11</v>
      </c>
      <c r="AK113" s="194">
        <v>1</v>
      </c>
      <c r="AL113" s="187"/>
      <c r="AM113" s="187"/>
    </row>
    <row r="114" spans="1:39" x14ac:dyDescent="0.25">
      <c r="A114" s="36" t="str">
        <f>IF(výpočty!$H$105=3,výpočty!A105,"")</f>
        <v>RB 50/CB - pro posun nahoru</v>
      </c>
      <c r="C114" s="36" t="str">
        <f>IF(výpočty!$H$105=3,výpočty!C105,"")</f>
        <v>bez omezení</v>
      </c>
      <c r="D114" s="38" t="e">
        <f>IF(výpočty!$H$105=3,výpočty!D105,"")</f>
        <v>#N/A</v>
      </c>
      <c r="G114" s="24"/>
      <c r="Z114">
        <v>65</v>
      </c>
      <c r="AA114" s="90" t="s">
        <v>529</v>
      </c>
      <c r="AB114" s="179" t="str">
        <f t="shared" si="28"/>
        <v>Roletowy profil E23 buk</v>
      </c>
      <c r="AC114" s="91">
        <f t="shared" si="29"/>
        <v>21.09207</v>
      </c>
      <c r="AD114" s="91">
        <f t="shared" si="30"/>
        <v>21.09207</v>
      </c>
      <c r="AE114" s="191" t="s">
        <v>250</v>
      </c>
      <c r="AF114" s="194">
        <f>Odečty!B8</f>
        <v>-9</v>
      </c>
      <c r="AG114" s="194">
        <f>Odečty!C8</f>
        <v>14</v>
      </c>
      <c r="AH114" s="194">
        <f>Odečty!D8</f>
        <v>-9</v>
      </c>
      <c r="AI114" s="194">
        <f>Odečty!E8</f>
        <v>-9</v>
      </c>
      <c r="AJ114" s="194">
        <f>Odečty!F8</f>
        <v>-11</v>
      </c>
      <c r="AK114" s="194">
        <v>1</v>
      </c>
      <c r="AL114" s="187"/>
      <c r="AM114" s="187"/>
    </row>
    <row r="115" spans="1:39" ht="13.8" thickBot="1" x14ac:dyDescent="0.3">
      <c r="A115" s="27" t="str">
        <f>IF(výpočty!$H$106=3,výpočty!A106,"")</f>
        <v>RB 3B</v>
      </c>
      <c r="C115" s="27" t="str">
        <f>IF(výpočty!$H$106=3,výpočty!C106,"")</f>
        <v>bez omezení</v>
      </c>
      <c r="D115" s="39">
        <f>IF(výpočty!$H$106=3,výpočty!D106,"")</f>
        <v>18.350619999999999</v>
      </c>
      <c r="G115" s="24"/>
      <c r="Z115">
        <v>65</v>
      </c>
      <c r="AA115" s="90" t="s">
        <v>530</v>
      </c>
      <c r="AB115" s="179" t="str">
        <f t="shared" si="28"/>
        <v>Roletowy profil E23 calvados</v>
      </c>
      <c r="AC115" s="91">
        <f t="shared" si="29"/>
        <v>16.690989999999999</v>
      </c>
      <c r="AD115" s="91">
        <f t="shared" si="30"/>
        <v>16.690989999999999</v>
      </c>
      <c r="AE115" s="191" t="s">
        <v>251</v>
      </c>
      <c r="AF115" s="194">
        <f>Odečty!B8</f>
        <v>-9</v>
      </c>
      <c r="AG115" s="194">
        <f>Odečty!C8</f>
        <v>14</v>
      </c>
      <c r="AH115" s="194">
        <f>Odečty!D8</f>
        <v>-9</v>
      </c>
      <c r="AI115" s="194">
        <f>Odečty!E8</f>
        <v>-9</v>
      </c>
      <c r="AJ115" s="194">
        <f>Odečty!F8</f>
        <v>-11</v>
      </c>
      <c r="AK115" s="194">
        <v>1</v>
      </c>
      <c r="AL115" s="187"/>
      <c r="AM115" s="187"/>
    </row>
    <row r="116" spans="1:39" ht="13.8" thickBot="1" x14ac:dyDescent="0.3">
      <c r="A116" s="27" t="str">
        <f>IF(výpočty!$H$107=3,výpočty!A107,"")</f>
        <v/>
      </c>
      <c r="C116" s="27" t="str">
        <f>IF(výpočty!$H$107=3,výpočty!C107,"")</f>
        <v/>
      </c>
      <c r="D116" s="39" t="str">
        <f>IF(výpočty!$H$107=3,výpočty!D107,"")</f>
        <v/>
      </c>
      <c r="G116" s="24"/>
      <c r="Z116">
        <v>58</v>
      </c>
      <c r="AA116" s="90" t="s">
        <v>531</v>
      </c>
      <c r="AB116" s="179" t="str">
        <f t="shared" si="28"/>
        <v>Roletowy profil E23 czarny</v>
      </c>
      <c r="AC116" s="91">
        <f t="shared" si="29"/>
        <v>19.28388</v>
      </c>
      <c r="AD116" s="91">
        <f t="shared" si="30"/>
        <v>19.28388</v>
      </c>
      <c r="AE116" s="191" t="s">
        <v>252</v>
      </c>
      <c r="AF116" s="194">
        <f>Odečty!B8</f>
        <v>-9</v>
      </c>
      <c r="AG116" s="194">
        <f>Odečty!C8</f>
        <v>14</v>
      </c>
      <c r="AH116" s="194">
        <f>Odečty!D8</f>
        <v>-9</v>
      </c>
      <c r="AI116" s="194">
        <f>Odečty!E8</f>
        <v>-9</v>
      </c>
      <c r="AJ116" s="194">
        <f>Odečty!F8</f>
        <v>-11</v>
      </c>
      <c r="AK116" s="194">
        <v>1</v>
      </c>
      <c r="AL116" s="187"/>
      <c r="AM116" s="187"/>
    </row>
    <row r="117" spans="1:39" ht="13.8" thickBot="1" x14ac:dyDescent="0.3">
      <c r="A117" s="27" t="str">
        <f>IF(výpočty!$H$108=3,výpočty!A108,"")</f>
        <v/>
      </c>
      <c r="C117" s="27" t="str">
        <f>IF(výpočty!$H$108=3,výpočty!C108,"")</f>
        <v/>
      </c>
      <c r="D117" s="39" t="str">
        <f>IF(výpočty!$H$108=3,výpočty!D108,"")</f>
        <v/>
      </c>
      <c r="G117" s="24"/>
      <c r="Z117">
        <v>65</v>
      </c>
      <c r="AA117" s="90" t="s">
        <v>532</v>
      </c>
      <c r="AB117" s="179" t="str">
        <f t="shared" si="28"/>
        <v>Roletowy profil E23 al.(plast.)</v>
      </c>
      <c r="AC117" s="91">
        <f t="shared" si="29"/>
        <v>21.09207</v>
      </c>
      <c r="AD117" s="91">
        <f t="shared" si="30"/>
        <v>21.09207</v>
      </c>
      <c r="AE117" s="191" t="s">
        <v>253</v>
      </c>
      <c r="AF117" s="194">
        <f>Odečty!B8</f>
        <v>-9</v>
      </c>
      <c r="AG117" s="194">
        <f>Odečty!C8</f>
        <v>14</v>
      </c>
      <c r="AH117" s="194">
        <f>Odečty!D8</f>
        <v>-9</v>
      </c>
      <c r="AI117" s="194">
        <f>Odečty!E8</f>
        <v>-9</v>
      </c>
      <c r="AJ117" s="194">
        <f>Odečty!F8</f>
        <v>-11</v>
      </c>
      <c r="AK117" s="194">
        <v>1</v>
      </c>
      <c r="AL117" s="187"/>
      <c r="AM117" s="187"/>
    </row>
    <row r="118" spans="1:39" ht="20.399999999999999" x14ac:dyDescent="0.35">
      <c r="A118" s="34" t="s">
        <v>399</v>
      </c>
      <c r="B118" s="28"/>
      <c r="C118" s="28"/>
      <c r="D118" s="28"/>
      <c r="E118" s="28"/>
      <c r="F118" s="28"/>
      <c r="G118" s="28"/>
      <c r="H118" s="28"/>
      <c r="I118" s="28"/>
      <c r="J118" s="28"/>
      <c r="K118" s="28"/>
      <c r="L118" s="28"/>
      <c r="M118" s="28"/>
      <c r="N118" s="28"/>
      <c r="O118" s="28"/>
      <c r="P118" s="28"/>
      <c r="Q118" s="28"/>
      <c r="R118" s="29"/>
      <c r="Z118">
        <v>65</v>
      </c>
      <c r="AA118" s="90" t="s">
        <v>533</v>
      </c>
      <c r="AB118" s="179" t="str">
        <f t="shared" si="28"/>
        <v>Roletowy profil E23 jawor</v>
      </c>
      <c r="AC118" s="91">
        <f t="shared" si="29"/>
        <v>21.09207</v>
      </c>
      <c r="AD118" s="91">
        <f t="shared" si="30"/>
        <v>21.09207</v>
      </c>
      <c r="AE118" s="191" t="s">
        <v>254</v>
      </c>
      <c r="AF118" s="194">
        <f>Odečty!B8</f>
        <v>-9</v>
      </c>
      <c r="AG118" s="194">
        <f>Odečty!C8</f>
        <v>14</v>
      </c>
      <c r="AH118" s="194">
        <f>Odečty!D8</f>
        <v>-9</v>
      </c>
      <c r="AI118" s="194">
        <f>Odečty!E8</f>
        <v>-9</v>
      </c>
      <c r="AJ118" s="194">
        <f>Odečty!F8</f>
        <v>-11</v>
      </c>
      <c r="AK118" s="194">
        <v>1</v>
      </c>
      <c r="AL118" s="187"/>
      <c r="AM118" s="187"/>
    </row>
    <row r="119" spans="1:39" x14ac:dyDescent="0.25">
      <c r="A119" s="30" t="s">
        <v>73</v>
      </c>
      <c r="B119" t="s">
        <v>77</v>
      </c>
      <c r="C119" t="s">
        <v>78</v>
      </c>
      <c r="D119" t="s">
        <v>74</v>
      </c>
      <c r="E119" t="s">
        <v>75</v>
      </c>
      <c r="F119" t="s">
        <v>76</v>
      </c>
      <c r="G119" t="s">
        <v>79</v>
      </c>
      <c r="R119" s="31"/>
      <c r="Z119">
        <v>58</v>
      </c>
      <c r="AA119" s="90" t="s">
        <v>534</v>
      </c>
      <c r="AB119" s="179" t="str">
        <f t="shared" si="28"/>
        <v>Roletowy profil E23 szary</v>
      </c>
      <c r="AC119" s="91">
        <f t="shared" si="29"/>
        <v>19.28388</v>
      </c>
      <c r="AD119" s="91">
        <f t="shared" si="30"/>
        <v>19.28388</v>
      </c>
      <c r="AE119" s="191" t="s">
        <v>255</v>
      </c>
      <c r="AF119" s="194">
        <f>Odečty!B8</f>
        <v>-9</v>
      </c>
      <c r="AG119" s="194">
        <f>Odečty!C8</f>
        <v>14</v>
      </c>
      <c r="AH119" s="194">
        <f>Odečty!D8</f>
        <v>-9</v>
      </c>
      <c r="AI119" s="194">
        <f>Odečty!E8</f>
        <v>-9</v>
      </c>
      <c r="AJ119" s="194">
        <f>Odečty!F8</f>
        <v>-11</v>
      </c>
      <c r="AK119" s="194">
        <v>1</v>
      </c>
      <c r="AL119" s="187"/>
      <c r="AM119" s="187"/>
    </row>
    <row r="120" spans="1:39" x14ac:dyDescent="0.25">
      <c r="A120" s="30">
        <v>500</v>
      </c>
      <c r="B120">
        <v>1000</v>
      </c>
      <c r="C120">
        <v>600</v>
      </c>
      <c r="D120">
        <f>ABS(Titulní!$B$11-500)</f>
        <v>464</v>
      </c>
      <c r="E120">
        <f>IF(D120&lt;=10,1,0)</f>
        <v>0</v>
      </c>
      <c r="F120">
        <f>IF(Titulní!$B$9&gt;výpočty!B120,0,IF(Titulní!$B$9&lt;výpočty!C120,0,1))</f>
        <v>0</v>
      </c>
      <c r="G120">
        <f>E120+F120</f>
        <v>0</v>
      </c>
      <c r="I120" t="s">
        <v>400</v>
      </c>
      <c r="J120">
        <f>$F$31*AC212</f>
        <v>0</v>
      </c>
      <c r="L120" t="s">
        <v>344</v>
      </c>
      <c r="M120" t="s">
        <v>439</v>
      </c>
      <c r="N120" t="s">
        <v>346</v>
      </c>
      <c r="R120" s="31"/>
      <c r="Z120">
        <v>65</v>
      </c>
      <c r="AA120" s="90" t="s">
        <v>535</v>
      </c>
      <c r="AB120" s="179" t="str">
        <f t="shared" si="28"/>
        <v>Roletowy profil E23 czereś.Havana</v>
      </c>
      <c r="AC120" s="91" t="e">
        <f t="shared" si="29"/>
        <v>#N/A</v>
      </c>
      <c r="AD120" s="91" t="e">
        <f t="shared" si="30"/>
        <v>#N/A</v>
      </c>
      <c r="AE120" s="191" t="s">
        <v>256</v>
      </c>
      <c r="AF120" s="194">
        <f>Odečty!B8</f>
        <v>-9</v>
      </c>
      <c r="AG120" s="194">
        <f>Odečty!C8</f>
        <v>14</v>
      </c>
      <c r="AH120" s="194">
        <f>Odečty!D8</f>
        <v>-9</v>
      </c>
      <c r="AI120" s="194">
        <f>Odečty!E8</f>
        <v>-9</v>
      </c>
      <c r="AJ120" s="194">
        <f>Odečty!F8</f>
        <v>-11</v>
      </c>
      <c r="AK120" s="194">
        <v>1</v>
      </c>
      <c r="AL120" s="187"/>
      <c r="AM120" s="187"/>
    </row>
    <row r="121" spans="1:39" x14ac:dyDescent="0.25">
      <c r="A121" s="30">
        <v>500</v>
      </c>
      <c r="B121">
        <v>1500</v>
      </c>
      <c r="C121">
        <v>1000</v>
      </c>
      <c r="D121">
        <f>ABS(Titulní!$B$11-500)</f>
        <v>464</v>
      </c>
      <c r="E121">
        <f>IF(D121&lt;=10,1,0)</f>
        <v>0</v>
      </c>
      <c r="F121">
        <f>IF(Titulní!$B$9&gt;výpočty!B121,0,IF(Titulní!$B$9&lt;výpočty!C121,0,1))</f>
        <v>0</v>
      </c>
      <c r="G121">
        <f>E121+F121</f>
        <v>0</v>
      </c>
      <c r="I121" t="s">
        <v>401</v>
      </c>
      <c r="J121">
        <f>$F$31*AC214</f>
        <v>0</v>
      </c>
      <c r="M121" t="s">
        <v>439</v>
      </c>
      <c r="N121" t="s">
        <v>352</v>
      </c>
      <c r="R121" s="31"/>
      <c r="Z121">
        <v>65</v>
      </c>
      <c r="AA121" s="90" t="s">
        <v>536</v>
      </c>
      <c r="AB121" s="179" t="str">
        <f t="shared" si="28"/>
        <v>Roletowy profil E23 czereśnia</v>
      </c>
      <c r="AC121" s="91">
        <f t="shared" si="29"/>
        <v>21.09207</v>
      </c>
      <c r="AD121" s="91">
        <f t="shared" si="30"/>
        <v>21.09207</v>
      </c>
      <c r="AE121" s="191" t="s">
        <v>257</v>
      </c>
      <c r="AF121" s="194">
        <f>Odečty!B8</f>
        <v>-9</v>
      </c>
      <c r="AG121" s="194">
        <f>Odečty!C8</f>
        <v>14</v>
      </c>
      <c r="AH121" s="194">
        <f>Odečty!D8</f>
        <v>-9</v>
      </c>
      <c r="AI121" s="194">
        <f>Odečty!E8</f>
        <v>-9</v>
      </c>
      <c r="AJ121" s="194">
        <f>Odečty!F8</f>
        <v>-11</v>
      </c>
      <c r="AK121" s="194">
        <v>1</v>
      </c>
      <c r="AL121" s="187"/>
      <c r="AM121" s="187"/>
    </row>
    <row r="122" spans="1:39" x14ac:dyDescent="0.25">
      <c r="A122" s="30">
        <v>600</v>
      </c>
      <c r="B122">
        <v>1000</v>
      </c>
      <c r="C122">
        <v>600</v>
      </c>
      <c r="D122">
        <f>ABS(Titulní!$B$11-600)</f>
        <v>564</v>
      </c>
      <c r="E122">
        <f>IF(D122&lt;=10,1,0)</f>
        <v>0</v>
      </c>
      <c r="F122">
        <f>IF(Titulní!$B$9&gt;výpočty!B122,0,IF(Titulní!$B$9&lt;výpočty!C122,0,1))</f>
        <v>0</v>
      </c>
      <c r="G122">
        <f>E122+F122</f>
        <v>0</v>
      </c>
      <c r="I122" t="s">
        <v>402</v>
      </c>
      <c r="J122">
        <f>$F$31*AC216</f>
        <v>0</v>
      </c>
      <c r="M122">
        <f>$F$31*AC217</f>
        <v>0</v>
      </c>
      <c r="N122" t="s">
        <v>353</v>
      </c>
      <c r="R122" s="31"/>
      <c r="Z122">
        <v>18</v>
      </c>
      <c r="AA122" s="90" t="s">
        <v>537</v>
      </c>
      <c r="AB122" s="179" t="str">
        <f t="shared" si="28"/>
        <v>Narożnik lis.tor.na wkr. jas.szary (al.)</v>
      </c>
      <c r="AC122" s="91">
        <f t="shared" si="29"/>
        <v>5.8428699999999996</v>
      </c>
      <c r="AD122" s="91">
        <f t="shared" si="30"/>
        <v>5.8428699999999996</v>
      </c>
      <c r="AE122" s="191" t="s">
        <v>258</v>
      </c>
      <c r="AF122" s="194"/>
      <c r="AG122" s="194"/>
      <c r="AH122" s="194"/>
      <c r="AI122" s="194"/>
      <c r="AJ122" s="194"/>
      <c r="AK122" s="194"/>
      <c r="AL122" s="187"/>
      <c r="AM122" s="187"/>
    </row>
    <row r="123" spans="1:39" x14ac:dyDescent="0.25">
      <c r="A123" s="30">
        <v>600</v>
      </c>
      <c r="B123">
        <v>1500</v>
      </c>
      <c r="C123">
        <v>1000</v>
      </c>
      <c r="D123">
        <f>ABS(Titulní!$B$11-600)</f>
        <v>564</v>
      </c>
      <c r="E123">
        <f>IF(D123&lt;=10,1,0)</f>
        <v>0</v>
      </c>
      <c r="F123">
        <f>IF(Titulní!$B$9&gt;výpočty!B123,0,IF(Titulní!$B$9&lt;výpočty!C123,0,1))</f>
        <v>0</v>
      </c>
      <c r="G123">
        <f>E123+F123</f>
        <v>0</v>
      </c>
      <c r="I123" t="s">
        <v>403</v>
      </c>
      <c r="J123">
        <f>$F$31*AC218</f>
        <v>0</v>
      </c>
      <c r="M123">
        <f>$F$31*AC219</f>
        <v>0</v>
      </c>
      <c r="N123" t="s">
        <v>354</v>
      </c>
      <c r="R123" s="31"/>
      <c r="Z123">
        <v>15.5</v>
      </c>
      <c r="AA123" s="90" t="s">
        <v>538</v>
      </c>
      <c r="AB123" s="179" t="str">
        <f t="shared" si="28"/>
        <v>Róg list.tor.90 °- 8mm biały</v>
      </c>
      <c r="AC123" s="91">
        <f t="shared" si="29"/>
        <v>5.2317799999999997</v>
      </c>
      <c r="AD123" s="91">
        <f t="shared" si="30"/>
        <v>5.2317799999999997</v>
      </c>
      <c r="AE123" s="191" t="s">
        <v>259</v>
      </c>
      <c r="AF123" s="194"/>
      <c r="AG123" s="194"/>
      <c r="AH123" s="194"/>
      <c r="AI123" s="194"/>
      <c r="AJ123" s="194"/>
      <c r="AK123" s="194"/>
      <c r="AL123" s="187"/>
      <c r="AM123" s="187"/>
    </row>
    <row r="124" spans="1:39" x14ac:dyDescent="0.25">
      <c r="A124" s="30"/>
      <c r="R124" s="31"/>
      <c r="Z124">
        <v>18</v>
      </c>
      <c r="AA124" s="90" t="s">
        <v>539</v>
      </c>
      <c r="AB124" s="179" t="str">
        <f t="shared" si="28"/>
        <v>Narożnik lis.tor.na wkr. czarny</v>
      </c>
      <c r="AC124" s="91">
        <f t="shared" si="29"/>
        <v>5.8428699999999996</v>
      </c>
      <c r="AD124" s="91">
        <f t="shared" si="30"/>
        <v>5.8428699999999996</v>
      </c>
      <c r="AE124" s="191" t="s">
        <v>260</v>
      </c>
      <c r="AF124" s="194"/>
      <c r="AG124" s="194"/>
      <c r="AH124" s="194"/>
      <c r="AI124" s="194"/>
      <c r="AJ124" s="194"/>
      <c r="AK124" s="194"/>
      <c r="AL124" s="187"/>
      <c r="AM124" s="187"/>
    </row>
    <row r="125" spans="1:39" x14ac:dyDescent="0.25">
      <c r="A125" s="30"/>
      <c r="B125" t="s">
        <v>80</v>
      </c>
      <c r="R125" s="31"/>
      <c r="Z125">
        <v>15.5</v>
      </c>
      <c r="AA125" s="90" t="s">
        <v>540</v>
      </c>
      <c r="AB125" s="179" t="str">
        <f t="shared" si="28"/>
        <v>Róg list.tor.90 °-8mm js.brąz (buk)</v>
      </c>
      <c r="AC125" s="91">
        <f t="shared" si="29"/>
        <v>5.2317799999999997</v>
      </c>
      <c r="AD125" s="91">
        <f t="shared" si="30"/>
        <v>5.2317799999999997</v>
      </c>
      <c r="AE125" s="191" t="s">
        <v>261</v>
      </c>
      <c r="AF125" s="194"/>
      <c r="AG125" s="194"/>
      <c r="AH125" s="194"/>
      <c r="AI125" s="194"/>
      <c r="AJ125" s="194"/>
      <c r="AK125" s="194"/>
      <c r="AL125" s="187"/>
      <c r="AM125" s="187"/>
    </row>
    <row r="126" spans="1:39" ht="13.8" thickBot="1" x14ac:dyDescent="0.3">
      <c r="A126" s="32"/>
      <c r="B126" s="33" t="str">
        <f>IF(U14=1,IF(G120=2,I120,IF(G121=2,I121,IF(G122=2,I122,IF(G123=2,I123,"nevyhovuje žádný C BOX")))),"nevyhovuje žádný C BOX")</f>
        <v>nevyhovuje žádný C BOX</v>
      </c>
      <c r="C126" s="33" t="str">
        <f>IF(U14=1,IF(G120=2,J120,IF(G121=2,J121,IF(G122=2,J122,IF(G123=2,J123," "))))," ")</f>
        <v xml:space="preserve"> </v>
      </c>
      <c r="D126" s="33" t="str">
        <f>IF(U14=1,IF(G120=2,"nebo Ne",IF(G121=2,"nebo Ne",IF(G122=2,"nebo Ne",IF(G123=2,"nebo Ne"," "))))," ")</f>
        <v xml:space="preserve"> </v>
      </c>
      <c r="E126" s="33"/>
      <c r="F126" s="33" t="str">
        <f>IF(U14=1,IF(G120=2,M120,IF(G121=2,M121,IF(G122=2,M122,IF(G123=2,M123," "))))," ")</f>
        <v xml:space="preserve"> </v>
      </c>
      <c r="G126" s="33" t="str">
        <f>IF(U14=1,IF(G120=2,N120,IF(G121=2,N121,IF(G122=2,N122,IF(G123=2,N123," "))))," ")</f>
        <v xml:space="preserve"> </v>
      </c>
      <c r="H126" s="33"/>
      <c r="I126" s="33"/>
      <c r="J126" s="33"/>
      <c r="K126" s="33"/>
      <c r="L126" s="33"/>
      <c r="M126" s="33"/>
      <c r="N126" s="33"/>
      <c r="O126" s="33"/>
      <c r="P126" s="33"/>
      <c r="Q126" s="33"/>
      <c r="R126" s="4"/>
      <c r="Z126">
        <v>18</v>
      </c>
      <c r="AA126" s="90" t="s">
        <v>541</v>
      </c>
      <c r="AB126" s="179" t="str">
        <f t="shared" si="28"/>
        <v>Narożnik lis.tor.na wkr. jas.brąz.(buk)</v>
      </c>
      <c r="AC126" s="91">
        <f t="shared" si="29"/>
        <v>5.8428699999999996</v>
      </c>
      <c r="AD126" s="91">
        <f t="shared" si="30"/>
        <v>5.8428699999999996</v>
      </c>
      <c r="AE126" s="191" t="s">
        <v>262</v>
      </c>
      <c r="AF126" s="194"/>
      <c r="AG126" s="194"/>
      <c r="AH126" s="194"/>
      <c r="AI126" s="194"/>
      <c r="AJ126" s="194"/>
      <c r="AK126" s="194"/>
      <c r="AL126" s="187"/>
      <c r="AM126" s="187"/>
    </row>
    <row r="127" spans="1:39" x14ac:dyDescent="0.25">
      <c r="Z127">
        <v>18</v>
      </c>
      <c r="AA127" s="90" t="s">
        <v>542</v>
      </c>
      <c r="AB127" s="179" t="str">
        <f t="shared" si="28"/>
        <v>Narożnik lis.tor.na wkr. Beżowy (jawor)</v>
      </c>
      <c r="AC127" s="91">
        <f t="shared" si="29"/>
        <v>5.8428699999999996</v>
      </c>
      <c r="AD127" s="91">
        <f t="shared" si="30"/>
        <v>5.8428699999999996</v>
      </c>
      <c r="AE127" s="191" t="s">
        <v>263</v>
      </c>
      <c r="AF127" s="194"/>
      <c r="AG127" s="194"/>
      <c r="AH127" s="194"/>
      <c r="AI127" s="194"/>
      <c r="AJ127" s="194"/>
      <c r="AK127" s="194"/>
      <c r="AL127" s="187"/>
      <c r="AM127" s="187"/>
    </row>
    <row r="128" spans="1:39" x14ac:dyDescent="0.25">
      <c r="Z128">
        <v>18</v>
      </c>
      <c r="AA128" s="90" t="s">
        <v>543</v>
      </c>
      <c r="AB128" s="179" t="str">
        <f t="shared" si="28"/>
        <v>Narożnik lis.tor.na wkr. Brązowy (Havana</v>
      </c>
      <c r="AC128" s="91">
        <f t="shared" si="29"/>
        <v>4.6248800000000001</v>
      </c>
      <c r="AD128" s="91">
        <f t="shared" si="30"/>
        <v>4.6248800000000001</v>
      </c>
      <c r="AE128" s="191" t="s">
        <v>264</v>
      </c>
      <c r="AF128" s="194"/>
      <c r="AG128" s="194"/>
      <c r="AH128" s="194"/>
      <c r="AI128" s="194"/>
      <c r="AJ128" s="194"/>
      <c r="AK128" s="194"/>
      <c r="AL128" s="187"/>
      <c r="AM128" s="187"/>
    </row>
    <row r="129" spans="26:39" x14ac:dyDescent="0.25">
      <c r="Z129">
        <v>18</v>
      </c>
      <c r="AA129" s="90" t="s">
        <v>544</v>
      </c>
      <c r="AB129" s="179" t="str">
        <f t="shared" si="28"/>
        <v>Narożnik lis.tor.na wkr. Brązowy (czerś.</v>
      </c>
      <c r="AC129" s="91">
        <f t="shared" si="29"/>
        <v>5.8428699999999996</v>
      </c>
      <c r="AD129" s="91">
        <f t="shared" si="30"/>
        <v>5.8428699999999996</v>
      </c>
      <c r="AE129" s="191" t="s">
        <v>265</v>
      </c>
      <c r="AF129" s="194"/>
      <c r="AG129" s="194"/>
      <c r="AH129" s="194"/>
      <c r="AI129" s="194"/>
      <c r="AJ129" s="194"/>
      <c r="AK129" s="194"/>
      <c r="AL129" s="187"/>
      <c r="AM129" s="187"/>
    </row>
    <row r="130" spans="26:39" x14ac:dyDescent="0.25">
      <c r="Z130">
        <v>18</v>
      </c>
      <c r="AA130" s="90" t="s">
        <v>545</v>
      </c>
      <c r="AB130" s="179" t="str">
        <f t="shared" si="28"/>
        <v>Narożnik lis.tor.na wkr. Beżowy (brzoza)</v>
      </c>
      <c r="AC130" s="91">
        <f t="shared" si="29"/>
        <v>5.8428699999999996</v>
      </c>
      <c r="AD130" s="91">
        <f t="shared" si="30"/>
        <v>5.8428699999999996</v>
      </c>
      <c r="AE130" s="191" t="s">
        <v>266</v>
      </c>
      <c r="AF130" s="194"/>
      <c r="AG130" s="194"/>
      <c r="AH130" s="194"/>
      <c r="AI130" s="194"/>
      <c r="AJ130" s="194"/>
      <c r="AK130" s="194"/>
      <c r="AL130" s="187"/>
      <c r="AM130" s="187"/>
    </row>
    <row r="131" spans="26:39" x14ac:dyDescent="0.25">
      <c r="Z131">
        <v>18</v>
      </c>
      <c r="AA131" s="90" t="s">
        <v>546</v>
      </c>
      <c r="AB131" s="179" t="str">
        <f t="shared" si="28"/>
        <v>Narożnik lis.tor.na wkr. Brązowy (calv.)</v>
      </c>
      <c r="AC131" s="91">
        <f t="shared" si="29"/>
        <v>4.6248800000000001</v>
      </c>
      <c r="AD131" s="91">
        <f t="shared" si="30"/>
        <v>4.6248800000000001</v>
      </c>
      <c r="AE131" s="191" t="s">
        <v>267</v>
      </c>
      <c r="AF131" s="194"/>
      <c r="AG131" s="194"/>
      <c r="AH131" s="194"/>
      <c r="AI131" s="194"/>
      <c r="AJ131" s="194"/>
      <c r="AK131" s="194"/>
      <c r="AL131" s="187"/>
      <c r="AM131" s="187"/>
    </row>
    <row r="132" spans="26:39" x14ac:dyDescent="0.25">
      <c r="Z132">
        <v>15.5</v>
      </c>
      <c r="AA132" s="90" t="s">
        <v>547</v>
      </c>
      <c r="AB132" s="179" t="str">
        <f t="shared" si="28"/>
        <v>Róg list.tor.90 °-8mm szary</v>
      </c>
      <c r="AC132" s="91">
        <f t="shared" si="29"/>
        <v>5.2317799999999997</v>
      </c>
      <c r="AD132" s="91">
        <f t="shared" si="30"/>
        <v>5.2317799999999997</v>
      </c>
      <c r="AE132" s="191" t="s">
        <v>268</v>
      </c>
      <c r="AF132" s="194"/>
      <c r="AG132" s="194"/>
      <c r="AH132" s="194"/>
      <c r="AI132" s="194"/>
      <c r="AJ132" s="194"/>
      <c r="AK132" s="194"/>
      <c r="AL132" s="187"/>
      <c r="AM132" s="187"/>
    </row>
    <row r="133" spans="26:39" x14ac:dyDescent="0.25">
      <c r="Z133">
        <v>18</v>
      </c>
      <c r="AA133" s="90" t="s">
        <v>548</v>
      </c>
      <c r="AB133" s="179" t="str">
        <f t="shared" si="28"/>
        <v>Narożnik lis.tor.na wkr. Szary</v>
      </c>
      <c r="AC133" s="91">
        <f t="shared" si="29"/>
        <v>5.8428699999999996</v>
      </c>
      <c r="AD133" s="91">
        <f t="shared" si="30"/>
        <v>5.8428699999999996</v>
      </c>
      <c r="AE133" s="191" t="s">
        <v>269</v>
      </c>
      <c r="AF133" s="194"/>
      <c r="AG133" s="194"/>
      <c r="AH133" s="194"/>
      <c r="AI133" s="194"/>
      <c r="AJ133" s="194"/>
      <c r="AK133" s="194"/>
      <c r="AL133" s="187"/>
      <c r="AM133" s="187"/>
    </row>
    <row r="134" spans="26:39" x14ac:dyDescent="0.25">
      <c r="Z134">
        <v>0</v>
      </c>
      <c r="AA134" s="90" t="s">
        <v>549</v>
      </c>
      <c r="AB134" s="179" t="str">
        <f t="shared" si="28"/>
        <v>Prof.łącz. do śr.lis.uchwyt.</v>
      </c>
      <c r="AC134" s="91">
        <f t="shared" si="29"/>
        <v>12.713850000000001</v>
      </c>
      <c r="AD134" s="91">
        <f t="shared" si="30"/>
        <v>12.713850000000001</v>
      </c>
      <c r="AE134" s="191" t="s">
        <v>270</v>
      </c>
      <c r="AF134" s="194"/>
      <c r="AG134" s="194"/>
      <c r="AH134" s="194"/>
      <c r="AI134" s="194"/>
      <c r="AJ134" s="194"/>
      <c r="AK134" s="194">
        <v>1</v>
      </c>
      <c r="AL134" s="187"/>
      <c r="AM134" s="187"/>
    </row>
    <row r="135" spans="26:39" x14ac:dyDescent="0.25">
      <c r="Z135">
        <v>7.7</v>
      </c>
      <c r="AA135" s="90" t="s">
        <v>550</v>
      </c>
      <c r="AB135" s="179" t="str">
        <f t="shared" si="28"/>
        <v>Amortyz.środkowa Top jas.brąz.(buk)</v>
      </c>
      <c r="AC135" s="91">
        <f t="shared" si="29"/>
        <v>2.0286400000000002</v>
      </c>
      <c r="AD135" s="91">
        <f t="shared" si="30"/>
        <v>2.0286400000000002</v>
      </c>
      <c r="AE135" s="191" t="s">
        <v>271</v>
      </c>
      <c r="AF135" s="194"/>
      <c r="AG135" s="194"/>
      <c r="AH135" s="194"/>
      <c r="AI135" s="194"/>
      <c r="AJ135" s="194"/>
      <c r="AK135" s="194"/>
      <c r="AL135" s="187"/>
      <c r="AM135" s="187"/>
    </row>
    <row r="136" spans="26:39" x14ac:dyDescent="0.25">
      <c r="Z136">
        <v>133</v>
      </c>
      <c r="AA136" s="90" t="s">
        <v>551</v>
      </c>
      <c r="AB136" s="179" t="str">
        <f t="shared" si="28"/>
        <v>Środkowa listwa uchwytowa C3-uni szara</v>
      </c>
      <c r="AC136" s="91">
        <f t="shared" si="29"/>
        <v>42.180149999999998</v>
      </c>
      <c r="AD136" s="91">
        <f t="shared" si="30"/>
        <v>42.180149999999998</v>
      </c>
      <c r="AE136" s="191" t="s">
        <v>272</v>
      </c>
      <c r="AF136" s="194">
        <f>Odečty!B8</f>
        <v>-9</v>
      </c>
      <c r="AG136" s="194">
        <f>Odečty!C8</f>
        <v>14</v>
      </c>
      <c r="AH136" s="194">
        <f>Odečty!D8</f>
        <v>-9</v>
      </c>
      <c r="AI136" s="194">
        <f>Odečty!E8</f>
        <v>-9</v>
      </c>
      <c r="AJ136" s="194">
        <f>Odečty!F8</f>
        <v>-11</v>
      </c>
      <c r="AK136" s="194">
        <v>1</v>
      </c>
      <c r="AL136" s="187"/>
      <c r="AM136" s="187"/>
    </row>
    <row r="137" spans="26:39" x14ac:dyDescent="0.25">
      <c r="Z137">
        <v>133</v>
      </c>
      <c r="AA137" s="90" t="s">
        <v>552</v>
      </c>
      <c r="AB137" s="179" t="str">
        <f t="shared" si="28"/>
        <v>Środkowa listwa uchwytowa C3-uni biał.</v>
      </c>
      <c r="AC137" s="91">
        <f t="shared" si="29"/>
        <v>42.180149999999998</v>
      </c>
      <c r="AD137" s="91">
        <f t="shared" si="30"/>
        <v>42.180149999999998</v>
      </c>
      <c r="AE137" s="191" t="s">
        <v>273</v>
      </c>
      <c r="AF137" s="194">
        <f>Odečty!B8</f>
        <v>-9</v>
      </c>
      <c r="AG137" s="194">
        <f>Odečty!C8</f>
        <v>14</v>
      </c>
      <c r="AH137" s="194">
        <f>Odečty!D8</f>
        <v>-9</v>
      </c>
      <c r="AI137" s="194">
        <f>Odečty!E8</f>
        <v>-9</v>
      </c>
      <c r="AJ137" s="194">
        <f>Odečty!F8</f>
        <v>-11</v>
      </c>
      <c r="AK137" s="194">
        <v>1</v>
      </c>
      <c r="AL137" s="187"/>
      <c r="AM137" s="187"/>
    </row>
    <row r="138" spans="26:39" x14ac:dyDescent="0.25">
      <c r="Z138">
        <v>175</v>
      </c>
      <c r="AA138" s="90" t="s">
        <v>553</v>
      </c>
      <c r="AB138" s="179" t="str">
        <f t="shared" si="28"/>
        <v>Środkowa listwa uchwytowa C3-dekor buk</v>
      </c>
      <c r="AC138" s="91">
        <f t="shared" si="29"/>
        <v>58.996630000000003</v>
      </c>
      <c r="AD138" s="91">
        <f t="shared" si="30"/>
        <v>58.996630000000003</v>
      </c>
      <c r="AE138" s="191" t="s">
        <v>394</v>
      </c>
      <c r="AF138" s="194">
        <f>Odečty!B8</f>
        <v>-9</v>
      </c>
      <c r="AG138" s="194">
        <f>Odečty!C8</f>
        <v>14</v>
      </c>
      <c r="AH138" s="194">
        <f>Odečty!D8</f>
        <v>-9</v>
      </c>
      <c r="AI138" s="194">
        <f>Odečty!E8</f>
        <v>-9</v>
      </c>
      <c r="AJ138" s="194">
        <f>Odečty!F8</f>
        <v>-11</v>
      </c>
      <c r="AK138" s="194">
        <v>1</v>
      </c>
      <c r="AL138" s="187"/>
      <c r="AM138" s="187"/>
    </row>
    <row r="139" spans="26:39" x14ac:dyDescent="0.25">
      <c r="Z139">
        <v>133</v>
      </c>
      <c r="AA139" s="90" t="s">
        <v>554</v>
      </c>
      <c r="AB139" s="179" t="str">
        <f t="shared" si="28"/>
        <v>Środkowa listwa uchwytowa C3-uni czar.</v>
      </c>
      <c r="AC139" s="91">
        <f t="shared" si="29"/>
        <v>42.180149999999998</v>
      </c>
      <c r="AD139" s="91">
        <f t="shared" si="30"/>
        <v>42.180149999999998</v>
      </c>
      <c r="AE139" s="191" t="s">
        <v>274</v>
      </c>
      <c r="AF139" s="194">
        <f>Odečty!B8</f>
        <v>-9</v>
      </c>
      <c r="AG139" s="194">
        <f>Odečty!C8</f>
        <v>14</v>
      </c>
      <c r="AH139" s="194">
        <f>Odečty!D8</f>
        <v>-9</v>
      </c>
      <c r="AI139" s="194">
        <f>Odečty!E8</f>
        <v>-9</v>
      </c>
      <c r="AJ139" s="194">
        <f>Odečty!F8</f>
        <v>-11</v>
      </c>
      <c r="AK139" s="194">
        <v>1</v>
      </c>
      <c r="AL139" s="187"/>
      <c r="AM139" s="187"/>
    </row>
    <row r="140" spans="26:39" x14ac:dyDescent="0.25">
      <c r="Z140">
        <v>370</v>
      </c>
      <c r="AA140" s="90" t="s">
        <v>555</v>
      </c>
      <c r="AB140" s="179" t="str">
        <f t="shared" si="28"/>
        <v>Śr. List. Uchw. C3 ALU z ad.ALU 230L</v>
      </c>
      <c r="AC140" s="91" t="e">
        <f t="shared" si="29"/>
        <v>#N/A</v>
      </c>
      <c r="AD140" s="91" t="e">
        <f t="shared" si="30"/>
        <v>#N/A</v>
      </c>
      <c r="AE140" s="191" t="s">
        <v>275</v>
      </c>
      <c r="AF140" s="194">
        <f>Odečty!B9</f>
        <v>-12</v>
      </c>
      <c r="AG140" s="194">
        <f>Odečty!C9</f>
        <v>11</v>
      </c>
      <c r="AH140" s="194">
        <f>Odečty!D9</f>
        <v>-12</v>
      </c>
      <c r="AI140" s="194">
        <f>Odečty!E9</f>
        <v>-12</v>
      </c>
      <c r="AJ140" s="194">
        <f>Odečty!F9</f>
        <v>-14</v>
      </c>
      <c r="AK140" s="194">
        <v>1</v>
      </c>
      <c r="AL140" s="187"/>
      <c r="AM140" s="187"/>
    </row>
    <row r="141" spans="26:39" x14ac:dyDescent="0.25">
      <c r="Z141">
        <v>370</v>
      </c>
      <c r="AA141" s="90" t="s">
        <v>556</v>
      </c>
      <c r="AB141" s="179" t="str">
        <f t="shared" si="28"/>
        <v>Środ. list. uchw. C3 z adapt. stal nier.</v>
      </c>
      <c r="AC141" s="91" t="e">
        <f t="shared" si="29"/>
        <v>#N/A</v>
      </c>
      <c r="AD141" s="91" t="e">
        <f t="shared" si="30"/>
        <v>#N/A</v>
      </c>
      <c r="AE141" s="191" t="s">
        <v>276</v>
      </c>
      <c r="AF141" s="194">
        <f>Odečty!B9</f>
        <v>-12</v>
      </c>
      <c r="AG141" s="194">
        <f>Odečty!C9</f>
        <v>11</v>
      </c>
      <c r="AH141" s="194">
        <f>Odečty!D9</f>
        <v>-12</v>
      </c>
      <c r="AI141" s="194">
        <f>Odečty!E9</f>
        <v>-12</v>
      </c>
      <c r="AJ141" s="194">
        <f>Odečty!F9</f>
        <v>-14</v>
      </c>
      <c r="AK141" s="194">
        <v>1</v>
      </c>
      <c r="AL141" s="187"/>
      <c r="AM141" s="187"/>
    </row>
    <row r="142" spans="26:39" x14ac:dyDescent="0.25">
      <c r="Z142">
        <v>175</v>
      </c>
      <c r="AA142" s="90" t="s">
        <v>557</v>
      </c>
      <c r="AB142" s="179" t="str">
        <f t="shared" si="28"/>
        <v>Środkowa listwa uchwytowa C3-al.(plas)</v>
      </c>
      <c r="AC142" s="91">
        <f t="shared" si="29"/>
        <v>58.996630000000003</v>
      </c>
      <c r="AD142" s="91">
        <f t="shared" si="30"/>
        <v>58.996630000000003</v>
      </c>
      <c r="AE142" s="191" t="s">
        <v>426</v>
      </c>
      <c r="AF142" s="194">
        <f>Odečty!B8</f>
        <v>-9</v>
      </c>
      <c r="AG142" s="194">
        <f>Odečty!C8</f>
        <v>14</v>
      </c>
      <c r="AH142" s="194">
        <f>Odečty!D8</f>
        <v>-9</v>
      </c>
      <c r="AI142" s="194">
        <f>Odečty!E8</f>
        <v>-9</v>
      </c>
      <c r="AJ142" s="194">
        <f>Odečty!F8</f>
        <v>-11</v>
      </c>
      <c r="AK142" s="194">
        <v>1</v>
      </c>
      <c r="AL142" s="187"/>
      <c r="AM142" s="187"/>
    </row>
    <row r="143" spans="26:39" x14ac:dyDescent="0.25">
      <c r="Z143">
        <v>10</v>
      </c>
      <c r="AA143" s="90" t="s">
        <v>558</v>
      </c>
      <c r="AB143" s="179" t="str">
        <f t="shared" si="28"/>
        <v>Środkowa amort.8mm biała</v>
      </c>
      <c r="AC143" s="91">
        <f t="shared" si="29"/>
        <v>2.5358299999999998</v>
      </c>
      <c r="AD143" s="91">
        <f t="shared" si="30"/>
        <v>2.5358299999999998</v>
      </c>
      <c r="AE143" s="191" t="s">
        <v>277</v>
      </c>
      <c r="AF143" s="194"/>
      <c r="AG143" s="194"/>
      <c r="AH143" s="194"/>
      <c r="AI143" s="194"/>
      <c r="AJ143" s="194"/>
      <c r="AK143" s="194"/>
      <c r="AL143" s="187"/>
      <c r="AM143" s="187"/>
    </row>
    <row r="144" spans="26:39" x14ac:dyDescent="0.25">
      <c r="Z144">
        <v>10</v>
      </c>
      <c r="AA144" s="90" t="s">
        <v>559</v>
      </c>
      <c r="AB144" s="179" t="str">
        <f t="shared" ref="AB144:AB175" si="31">VLOOKUP(AA144,$Z$246:$AJ$508,(1+$AE$1),0)</f>
        <v>Środkowa amort.8mm czarna</v>
      </c>
      <c r="AC144" s="91">
        <f t="shared" ref="AC144:AC175" si="32">$AB$1*AD144</f>
        <v>2.5358299999999998</v>
      </c>
      <c r="AD144" s="91">
        <f t="shared" ref="AD144:AD175" si="33">VLOOKUP(AA144,$Z$246:$AJ$508,(5+$AE$1),0)</f>
        <v>2.5358299999999998</v>
      </c>
      <c r="AE144" s="191" t="s">
        <v>278</v>
      </c>
      <c r="AF144" s="194"/>
      <c r="AG144" s="194"/>
      <c r="AH144" s="194"/>
      <c r="AI144" s="194"/>
      <c r="AJ144" s="194"/>
      <c r="AK144" s="194"/>
      <c r="AL144" s="187"/>
      <c r="AM144" s="187"/>
    </row>
    <row r="145" spans="26:39" x14ac:dyDescent="0.25">
      <c r="Z145">
        <v>10</v>
      </c>
      <c r="AA145" s="90" t="s">
        <v>560</v>
      </c>
      <c r="AB145" s="179" t="str">
        <f t="shared" si="31"/>
        <v>Środkowa amort.8mm jas.brąz (buk)</v>
      </c>
      <c r="AC145" s="91">
        <f t="shared" si="32"/>
        <v>2.5358299999999998</v>
      </c>
      <c r="AD145" s="91">
        <f t="shared" si="33"/>
        <v>2.5358299999999998</v>
      </c>
      <c r="AE145" s="191" t="s">
        <v>279</v>
      </c>
      <c r="AF145" s="194"/>
      <c r="AG145" s="194"/>
      <c r="AH145" s="194"/>
      <c r="AI145" s="194"/>
      <c r="AJ145" s="194"/>
      <c r="AK145" s="194"/>
      <c r="AL145" s="187"/>
      <c r="AM145" s="187"/>
    </row>
    <row r="146" spans="26:39" x14ac:dyDescent="0.25">
      <c r="Z146">
        <v>10</v>
      </c>
      <c r="AA146" s="90" t="s">
        <v>561</v>
      </c>
      <c r="AB146" s="179" t="str">
        <f t="shared" si="31"/>
        <v>Środkowa amort.8mm szara</v>
      </c>
      <c r="AC146" s="91">
        <f t="shared" si="32"/>
        <v>2.5358299999999998</v>
      </c>
      <c r="AD146" s="91">
        <f t="shared" si="33"/>
        <v>2.5358299999999998</v>
      </c>
      <c r="AE146" s="191" t="s">
        <v>280</v>
      </c>
      <c r="AF146" s="194"/>
      <c r="AG146" s="194"/>
      <c r="AH146" s="194"/>
      <c r="AI146" s="194"/>
      <c r="AJ146" s="194"/>
      <c r="AK146" s="194"/>
      <c r="AL146" s="187"/>
      <c r="AM146" s="187"/>
    </row>
    <row r="147" spans="26:39" x14ac:dyDescent="0.25">
      <c r="Z147">
        <v>7.7</v>
      </c>
      <c r="AA147" s="90" t="s">
        <v>562</v>
      </c>
      <c r="AB147" s="179" t="str">
        <f t="shared" si="31"/>
        <v>Amortyz.środkowa Top jas. szara (al.)</v>
      </c>
      <c r="AC147" s="91">
        <f t="shared" si="32"/>
        <v>2.0286400000000002</v>
      </c>
      <c r="AD147" s="91">
        <f t="shared" si="33"/>
        <v>2.0286400000000002</v>
      </c>
      <c r="AE147" s="191" t="s">
        <v>281</v>
      </c>
      <c r="AF147" s="194"/>
      <c r="AG147" s="194"/>
      <c r="AH147" s="194"/>
      <c r="AI147" s="194"/>
      <c r="AJ147" s="194"/>
      <c r="AK147" s="194"/>
      <c r="AL147" s="187"/>
      <c r="AM147" s="187"/>
    </row>
    <row r="148" spans="26:39" x14ac:dyDescent="0.25">
      <c r="Z148">
        <v>7.7</v>
      </c>
      <c r="AA148" s="90" t="s">
        <v>563</v>
      </c>
      <c r="AB148" s="179" t="str">
        <f t="shared" si="31"/>
        <v>Amortyz.środkowa Top biała</v>
      </c>
      <c r="AC148" s="91">
        <f t="shared" si="32"/>
        <v>2.0286400000000002</v>
      </c>
      <c r="AD148" s="91">
        <f t="shared" si="33"/>
        <v>2.0286400000000002</v>
      </c>
      <c r="AE148" s="191" t="s">
        <v>282</v>
      </c>
      <c r="AF148" s="194"/>
      <c r="AG148" s="194"/>
      <c r="AH148" s="194"/>
      <c r="AI148" s="194"/>
      <c r="AJ148" s="194"/>
      <c r="AK148" s="194"/>
      <c r="AL148" s="187"/>
      <c r="AM148" s="187"/>
    </row>
    <row r="149" spans="26:39" x14ac:dyDescent="0.25">
      <c r="Z149">
        <v>7.7</v>
      </c>
      <c r="AA149" s="90" t="s">
        <v>564</v>
      </c>
      <c r="AB149" s="179" t="str">
        <f t="shared" si="31"/>
        <v>Amortyz.środkowa Top czarna</v>
      </c>
      <c r="AC149" s="91">
        <f t="shared" si="32"/>
        <v>2.0286400000000002</v>
      </c>
      <c r="AD149" s="91">
        <f t="shared" si="33"/>
        <v>2.0286400000000002</v>
      </c>
      <c r="AE149" s="191" t="s">
        <v>283</v>
      </c>
      <c r="AF149" s="194"/>
      <c r="AG149" s="194"/>
      <c r="AH149" s="194"/>
      <c r="AI149" s="194"/>
      <c r="AJ149" s="194"/>
      <c r="AK149" s="194"/>
      <c r="AL149" s="187"/>
      <c r="AM149" s="187"/>
    </row>
    <row r="150" spans="26:39" x14ac:dyDescent="0.25">
      <c r="Z150">
        <v>7.7</v>
      </c>
      <c r="AA150" s="90" t="s">
        <v>562</v>
      </c>
      <c r="AB150" s="179" t="str">
        <f t="shared" si="31"/>
        <v>Amortyz.środkowa Top jas. szara (al.)</v>
      </c>
      <c r="AC150" s="91">
        <f t="shared" si="32"/>
        <v>2.0286400000000002</v>
      </c>
      <c r="AD150" s="91">
        <f t="shared" si="33"/>
        <v>2.0286400000000002</v>
      </c>
      <c r="AE150" s="191" t="s">
        <v>284</v>
      </c>
      <c r="AF150" s="194"/>
      <c r="AG150" s="194"/>
      <c r="AH150" s="194"/>
      <c r="AI150" s="194"/>
      <c r="AJ150" s="194"/>
      <c r="AK150" s="194"/>
      <c r="AL150" s="187"/>
      <c r="AM150" s="187"/>
    </row>
    <row r="151" spans="26:39" x14ac:dyDescent="0.25">
      <c r="Z151">
        <v>7.7</v>
      </c>
      <c r="AA151" s="90" t="s">
        <v>565</v>
      </c>
      <c r="AB151" s="179" t="str">
        <f t="shared" si="31"/>
        <v>Amortyz.środkowa Top beżowa(jawor)</v>
      </c>
      <c r="AC151" s="91">
        <f t="shared" si="32"/>
        <v>2.0286400000000002</v>
      </c>
      <c r="AD151" s="91">
        <f t="shared" si="33"/>
        <v>2.0286400000000002</v>
      </c>
      <c r="AE151" s="191" t="s">
        <v>285</v>
      </c>
      <c r="AF151" s="194"/>
      <c r="AG151" s="194"/>
      <c r="AH151" s="194"/>
      <c r="AI151" s="194"/>
      <c r="AJ151" s="194"/>
      <c r="AK151" s="194"/>
      <c r="AL151" s="187"/>
      <c r="AM151" s="187"/>
    </row>
    <row r="152" spans="26:39" x14ac:dyDescent="0.25">
      <c r="Z152">
        <v>7.7</v>
      </c>
      <c r="AA152" s="90" t="s">
        <v>566</v>
      </c>
      <c r="AB152" s="179" t="str">
        <f t="shared" si="31"/>
        <v>Amortyz.środkowa Top szara</v>
      </c>
      <c r="AC152" s="91">
        <f t="shared" si="32"/>
        <v>2.0286400000000002</v>
      </c>
      <c r="AD152" s="91">
        <f t="shared" si="33"/>
        <v>2.0286400000000002</v>
      </c>
      <c r="AE152" s="191" t="s">
        <v>286</v>
      </c>
      <c r="AF152" s="194"/>
      <c r="AG152" s="194"/>
      <c r="AH152" s="194"/>
      <c r="AI152" s="194"/>
      <c r="AJ152" s="194"/>
      <c r="AK152" s="194"/>
      <c r="AL152" s="187"/>
      <c r="AM152" s="187"/>
    </row>
    <row r="153" spans="26:39" x14ac:dyDescent="0.25">
      <c r="Z153">
        <v>7.7</v>
      </c>
      <c r="AA153" s="90" t="s">
        <v>567</v>
      </c>
      <c r="AB153" s="179" t="str">
        <f t="shared" si="31"/>
        <v>Amortyz.środkowa Top brąz.(czereś.)</v>
      </c>
      <c r="AC153" s="91">
        <f t="shared" si="32"/>
        <v>2.0286400000000002</v>
      </c>
      <c r="AD153" s="91">
        <f t="shared" si="33"/>
        <v>2.0286400000000002</v>
      </c>
      <c r="AE153" s="191" t="s">
        <v>287</v>
      </c>
      <c r="AF153" s="194"/>
      <c r="AG153" s="194"/>
      <c r="AH153" s="194"/>
      <c r="AI153" s="194"/>
      <c r="AJ153" s="194"/>
      <c r="AK153" s="194"/>
      <c r="AL153" s="187"/>
      <c r="AM153" s="187"/>
    </row>
    <row r="154" spans="26:39" x14ac:dyDescent="0.25">
      <c r="Z154">
        <v>53</v>
      </c>
      <c r="AA154" s="90" t="s">
        <v>568</v>
      </c>
      <c r="AB154" s="179" t="str">
        <f t="shared" si="31"/>
        <v>Listwa tor. na wkręt beżowa(brzoza)</v>
      </c>
      <c r="AC154" s="91">
        <f t="shared" si="32"/>
        <v>20.510159999999999</v>
      </c>
      <c r="AD154" s="91">
        <f t="shared" si="33"/>
        <v>20.510159999999999</v>
      </c>
      <c r="AE154" s="191" t="s">
        <v>288</v>
      </c>
      <c r="AF154" s="194" t="str">
        <f>Odečty!$B$13</f>
        <v>-49</v>
      </c>
      <c r="AG154" s="194"/>
      <c r="AH154" s="194"/>
      <c r="AI154" s="194"/>
      <c r="AJ154" s="194"/>
      <c r="AK154" s="194">
        <v>2</v>
      </c>
      <c r="AL154" s="187"/>
      <c r="AM154" s="187"/>
    </row>
    <row r="155" spans="26:39" x14ac:dyDescent="0.25">
      <c r="Z155">
        <v>595</v>
      </c>
      <c r="AA155" s="90" t="s">
        <v>569</v>
      </c>
      <c r="AB155" s="179" t="str">
        <f t="shared" si="31"/>
        <v>Listwa torowa Metal-line ALU 230L</v>
      </c>
      <c r="AC155" s="91">
        <f t="shared" si="32"/>
        <v>170.90098</v>
      </c>
      <c r="AD155" s="91">
        <f t="shared" si="33"/>
        <v>170.90098</v>
      </c>
      <c r="AE155" s="191" t="s">
        <v>289</v>
      </c>
      <c r="AF155" s="194" t="s">
        <v>1308</v>
      </c>
      <c r="AG155" s="194"/>
      <c r="AH155" s="194"/>
      <c r="AI155" s="194"/>
      <c r="AJ155" s="194">
        <f>Odečty!$F$13</f>
        <v>32</v>
      </c>
      <c r="AK155" s="194">
        <v>2</v>
      </c>
      <c r="AL155" s="187"/>
      <c r="AM155" s="187"/>
    </row>
    <row r="156" spans="26:39" x14ac:dyDescent="0.25">
      <c r="Z156">
        <v>595</v>
      </c>
      <c r="AA156" s="90" t="s">
        <v>570</v>
      </c>
      <c r="AB156" s="179" t="str">
        <f t="shared" si="31"/>
        <v>Listwa torowa Metal-line nierdz. 360L</v>
      </c>
      <c r="AC156" s="91">
        <f t="shared" si="32"/>
        <v>188.14168000000001</v>
      </c>
      <c r="AD156" s="91">
        <f t="shared" si="33"/>
        <v>188.14168000000001</v>
      </c>
      <c r="AE156" s="191" t="s">
        <v>290</v>
      </c>
      <c r="AF156" s="194" t="s">
        <v>1308</v>
      </c>
      <c r="AG156" s="194"/>
      <c r="AH156" s="194"/>
      <c r="AI156" s="194"/>
      <c r="AJ156" s="194">
        <f>Odečty!$F$13</f>
        <v>32</v>
      </c>
      <c r="AK156" s="194">
        <v>2</v>
      </c>
      <c r="AL156" s="187"/>
      <c r="AM156" s="187"/>
    </row>
    <row r="157" spans="26:39" x14ac:dyDescent="0.25">
      <c r="Z157">
        <v>53</v>
      </c>
      <c r="AA157" s="90" t="s">
        <v>571</v>
      </c>
      <c r="AB157" s="179" t="str">
        <f t="shared" si="31"/>
        <v>Listwa tor. na wkręt ciem. szara(al.)</v>
      </c>
      <c r="AC157" s="91">
        <f t="shared" si="32"/>
        <v>20.510159999999999</v>
      </c>
      <c r="AD157" s="91">
        <f t="shared" si="33"/>
        <v>20.510159999999999</v>
      </c>
      <c r="AE157" s="191" t="s">
        <v>291</v>
      </c>
      <c r="AF157" s="194" t="str">
        <f>Odečty!$B$13</f>
        <v>-49</v>
      </c>
      <c r="AG157" s="194"/>
      <c r="AH157" s="194"/>
      <c r="AI157" s="194"/>
      <c r="AJ157" s="194"/>
      <c r="AK157" s="194">
        <v>2</v>
      </c>
      <c r="AL157" s="187"/>
      <c r="AM157" s="187"/>
    </row>
    <row r="158" spans="26:39" x14ac:dyDescent="0.25">
      <c r="Z158">
        <v>29</v>
      </c>
      <c r="AA158" s="90" t="s">
        <v>572</v>
      </c>
      <c r="AB158" s="179" t="str">
        <f t="shared" si="31"/>
        <v>Listwa tor. 8mm do zafrez. biała</v>
      </c>
      <c r="AC158" s="91">
        <f t="shared" si="32"/>
        <v>9.7400800000000007</v>
      </c>
      <c r="AD158" s="91">
        <f t="shared" si="33"/>
        <v>9.7400800000000007</v>
      </c>
      <c r="AE158" s="191" t="s">
        <v>292</v>
      </c>
      <c r="AF158" s="194" t="s">
        <v>1308</v>
      </c>
      <c r="AG158" s="194" t="str">
        <f>Odečty!$C$13</f>
        <v>-66</v>
      </c>
      <c r="AH158" s="194"/>
      <c r="AI158" s="194"/>
      <c r="AJ158" s="194"/>
      <c r="AK158" s="194">
        <v>2</v>
      </c>
      <c r="AL158" s="187"/>
      <c r="AM158" s="187"/>
    </row>
    <row r="159" spans="26:39" x14ac:dyDescent="0.25">
      <c r="Z159">
        <v>53</v>
      </c>
      <c r="AA159" s="90" t="s">
        <v>573</v>
      </c>
      <c r="AB159" s="179" t="str">
        <f t="shared" si="31"/>
        <v>Listwa tor. na wkręt biała</v>
      </c>
      <c r="AC159" s="91">
        <f t="shared" si="32"/>
        <v>20.510159999999999</v>
      </c>
      <c r="AD159" s="91">
        <f t="shared" si="33"/>
        <v>20.510159999999999</v>
      </c>
      <c r="AE159" s="191" t="s">
        <v>293</v>
      </c>
      <c r="AF159" s="194" t="str">
        <f>Odečty!$B$13</f>
        <v>-49</v>
      </c>
      <c r="AG159" s="194"/>
      <c r="AH159" s="194"/>
      <c r="AI159" s="194"/>
      <c r="AJ159" s="194"/>
      <c r="AK159" s="194">
        <v>2</v>
      </c>
      <c r="AL159" s="187"/>
      <c r="AM159" s="187"/>
    </row>
    <row r="160" spans="26:39" x14ac:dyDescent="0.25">
      <c r="Z160">
        <v>29</v>
      </c>
      <c r="AA160" s="90" t="s">
        <v>574</v>
      </c>
      <c r="AB160" s="179" t="str">
        <f t="shared" si="31"/>
        <v>Listwa tor. 8mm do zafrez. czarna</v>
      </c>
      <c r="AC160" s="91">
        <f t="shared" si="32"/>
        <v>9.7397399999999994</v>
      </c>
      <c r="AD160" s="91">
        <f t="shared" si="33"/>
        <v>9.7397399999999994</v>
      </c>
      <c r="AE160" s="191" t="s">
        <v>294</v>
      </c>
      <c r="AF160" s="194" t="s">
        <v>1308</v>
      </c>
      <c r="AG160" s="194" t="str">
        <f>Odečty!$C$13</f>
        <v>-66</v>
      </c>
      <c r="AH160" s="194"/>
      <c r="AI160" s="194"/>
      <c r="AJ160" s="194"/>
      <c r="AK160" s="194">
        <v>2</v>
      </c>
      <c r="AL160" s="187"/>
      <c r="AM160" s="187"/>
    </row>
    <row r="161" spans="26:39" x14ac:dyDescent="0.25">
      <c r="Z161">
        <v>53</v>
      </c>
      <c r="AA161" s="90" t="s">
        <v>575</v>
      </c>
      <c r="AB161" s="179" t="str">
        <f t="shared" si="31"/>
        <v>Listwa tor. na wkręt czarna</v>
      </c>
      <c r="AC161" s="91">
        <f t="shared" si="32"/>
        <v>20.510159999999999</v>
      </c>
      <c r="AD161" s="91">
        <f t="shared" si="33"/>
        <v>20.510159999999999</v>
      </c>
      <c r="AE161" s="191" t="s">
        <v>295</v>
      </c>
      <c r="AF161" s="194" t="str">
        <f>Odečty!$B$13</f>
        <v>-49</v>
      </c>
      <c r="AG161" s="194"/>
      <c r="AH161" s="194"/>
      <c r="AI161" s="194"/>
      <c r="AJ161" s="194"/>
      <c r="AK161" s="194">
        <v>2</v>
      </c>
      <c r="AL161" s="187"/>
      <c r="AM161" s="187"/>
    </row>
    <row r="162" spans="26:39" x14ac:dyDescent="0.25">
      <c r="Z162">
        <v>315</v>
      </c>
      <c r="AA162" s="90" t="s">
        <v>576</v>
      </c>
      <c r="AB162" s="179" t="str">
        <f t="shared" si="31"/>
        <v>Listwa tor.Frame-dol.część, ALU 230L</v>
      </c>
      <c r="AC162" s="91">
        <f t="shared" si="32"/>
        <v>108.78563</v>
      </c>
      <c r="AD162" s="91">
        <f t="shared" si="33"/>
        <v>108.78563</v>
      </c>
      <c r="AE162" s="191" t="s">
        <v>296</v>
      </c>
      <c r="AF162" s="194" t="s">
        <v>1308</v>
      </c>
      <c r="AG162" s="194"/>
      <c r="AH162" s="194">
        <f>IF(NAVIJENI=3,Odečty!$G$13,Odečty!$D$13)</f>
        <v>-65</v>
      </c>
      <c r="AI162" s="194"/>
      <c r="AJ162" s="194"/>
      <c r="AK162" s="194">
        <v>2</v>
      </c>
      <c r="AL162" s="187"/>
      <c r="AM162" s="187"/>
    </row>
    <row r="163" spans="26:39" x14ac:dyDescent="0.25">
      <c r="Z163">
        <v>29</v>
      </c>
      <c r="AA163" s="90" t="s">
        <v>577</v>
      </c>
      <c r="AB163" s="179" t="str">
        <f t="shared" si="31"/>
        <v>Listwa tor. 8mm do zafrez.jas.br.buk</v>
      </c>
      <c r="AC163" s="91">
        <f t="shared" si="32"/>
        <v>9.7397399999999994</v>
      </c>
      <c r="AD163" s="91">
        <f t="shared" si="33"/>
        <v>9.7397399999999994</v>
      </c>
      <c r="AE163" s="191" t="s">
        <v>297</v>
      </c>
      <c r="AF163" s="194" t="s">
        <v>1308</v>
      </c>
      <c r="AG163" s="194" t="str">
        <f>Odečty!$C$13</f>
        <v>-66</v>
      </c>
      <c r="AH163" s="194"/>
      <c r="AI163" s="194"/>
      <c r="AJ163" s="194"/>
      <c r="AK163" s="194">
        <v>2</v>
      </c>
      <c r="AL163" s="187"/>
      <c r="AM163" s="187"/>
    </row>
    <row r="164" spans="26:39" x14ac:dyDescent="0.25">
      <c r="Z164">
        <v>53</v>
      </c>
      <c r="AA164" s="90" t="s">
        <v>578</v>
      </c>
      <c r="AB164" s="179" t="str">
        <f t="shared" si="31"/>
        <v>Listwa tor. na wkręt jas.brąz(buk)</v>
      </c>
      <c r="AC164" s="91">
        <f t="shared" si="32"/>
        <v>20.510159999999999</v>
      </c>
      <c r="AD164" s="91">
        <f t="shared" si="33"/>
        <v>20.510159999999999</v>
      </c>
      <c r="AE164" s="191" t="s">
        <v>298</v>
      </c>
      <c r="AF164" s="194" t="str">
        <f>Odečty!$B$13</f>
        <v>-49</v>
      </c>
      <c r="AG164" s="194"/>
      <c r="AH164" s="194"/>
      <c r="AI164" s="194"/>
      <c r="AJ164" s="194"/>
      <c r="AK164" s="194">
        <v>2</v>
      </c>
      <c r="AL164" s="187"/>
      <c r="AM164" s="187"/>
    </row>
    <row r="165" spans="26:39" x14ac:dyDescent="0.25">
      <c r="Z165">
        <v>53</v>
      </c>
      <c r="AA165" s="90" t="s">
        <v>579</v>
      </c>
      <c r="AB165" s="179" t="str">
        <f t="shared" si="31"/>
        <v>Listwa tor. na wkręt brąz(calvados)</v>
      </c>
      <c r="AC165" s="91">
        <f t="shared" si="32"/>
        <v>16.23028</v>
      </c>
      <c r="AD165" s="91">
        <f t="shared" si="33"/>
        <v>16.23028</v>
      </c>
      <c r="AE165" s="191" t="s">
        <v>299</v>
      </c>
      <c r="AF165" s="194" t="str">
        <f>Odečty!$B$13</f>
        <v>-49</v>
      </c>
      <c r="AG165" s="194"/>
      <c r="AH165" s="194"/>
      <c r="AI165" s="194"/>
      <c r="AJ165" s="194"/>
      <c r="AK165" s="194">
        <v>2</v>
      </c>
      <c r="AL165" s="187"/>
      <c r="AM165" s="187"/>
    </row>
    <row r="166" spans="26:39" x14ac:dyDescent="0.25">
      <c r="Z166">
        <v>53</v>
      </c>
      <c r="AA166" s="90" t="s">
        <v>580</v>
      </c>
      <c r="AB166" s="179" t="str">
        <f t="shared" si="31"/>
        <v>Listwa tor. na wkręt beżowa(jawor)</v>
      </c>
      <c r="AC166" s="91">
        <f t="shared" si="32"/>
        <v>20.510159999999999</v>
      </c>
      <c r="AD166" s="91">
        <f t="shared" si="33"/>
        <v>20.510159999999999</v>
      </c>
      <c r="AE166" s="191" t="s">
        <v>300</v>
      </c>
      <c r="AF166" s="194" t="str">
        <f>Odečty!$B$13</f>
        <v>-49</v>
      </c>
      <c r="AG166" s="194"/>
      <c r="AH166" s="194"/>
      <c r="AI166" s="194"/>
      <c r="AJ166" s="194"/>
      <c r="AK166" s="194">
        <v>2</v>
      </c>
      <c r="AL166" s="187"/>
      <c r="AM166" s="187"/>
    </row>
    <row r="167" spans="26:39" x14ac:dyDescent="0.25">
      <c r="Z167">
        <v>53</v>
      </c>
      <c r="AA167" s="90" t="s">
        <v>581</v>
      </c>
      <c r="AB167" s="179" t="str">
        <f t="shared" si="31"/>
        <v>Listwa tor. na wkręt brąz(Havana)</v>
      </c>
      <c r="AC167" s="91">
        <f t="shared" si="32"/>
        <v>16.23028</v>
      </c>
      <c r="AD167" s="91">
        <f t="shared" si="33"/>
        <v>16.23028</v>
      </c>
      <c r="AE167" s="191" t="s">
        <v>301</v>
      </c>
      <c r="AF167" s="194" t="str">
        <f>Odečty!$B$13</f>
        <v>-49</v>
      </c>
      <c r="AG167" s="194"/>
      <c r="AH167" s="194"/>
      <c r="AI167" s="194"/>
      <c r="AJ167" s="194"/>
      <c r="AK167" s="194">
        <v>2</v>
      </c>
      <c r="AL167" s="187"/>
      <c r="AM167" s="187"/>
    </row>
    <row r="168" spans="26:39" x14ac:dyDescent="0.25">
      <c r="Z168">
        <v>53</v>
      </c>
      <c r="AA168" s="90" t="s">
        <v>582</v>
      </c>
      <c r="AB168" s="179" t="str">
        <f t="shared" si="31"/>
        <v>Listwa tor. na wkręt brąz(czereś.)</v>
      </c>
      <c r="AC168" s="91">
        <f t="shared" si="32"/>
        <v>20.510159999999999</v>
      </c>
      <c r="AD168" s="91">
        <f t="shared" si="33"/>
        <v>20.510159999999999</v>
      </c>
      <c r="AE168" s="191" t="s">
        <v>302</v>
      </c>
      <c r="AF168" s="194" t="str">
        <f>Odečty!$B$13</f>
        <v>-49</v>
      </c>
      <c r="AG168" s="194"/>
      <c r="AH168" s="194"/>
      <c r="AI168" s="194"/>
      <c r="AJ168" s="194"/>
      <c r="AK168" s="194">
        <v>2</v>
      </c>
      <c r="AL168" s="187"/>
      <c r="AM168" s="187"/>
    </row>
    <row r="169" spans="26:39" x14ac:dyDescent="0.25">
      <c r="Z169">
        <v>29</v>
      </c>
      <c r="AA169" s="90" t="s">
        <v>583</v>
      </c>
      <c r="AB169" s="179" t="str">
        <f t="shared" si="31"/>
        <v>Listwa tor. 8mm do zafrez. szara</v>
      </c>
      <c r="AC169" s="91">
        <f t="shared" si="32"/>
        <v>9.7397399999999994</v>
      </c>
      <c r="AD169" s="91">
        <f t="shared" si="33"/>
        <v>9.7397399999999994</v>
      </c>
      <c r="AE169" s="191" t="s">
        <v>303</v>
      </c>
      <c r="AF169" s="194" t="s">
        <v>1308</v>
      </c>
      <c r="AG169" s="194" t="str">
        <f>Odečty!$C$13</f>
        <v>-66</v>
      </c>
      <c r="AH169" s="194"/>
      <c r="AI169" s="194"/>
      <c r="AJ169" s="194"/>
      <c r="AK169" s="194">
        <v>2</v>
      </c>
      <c r="AL169" s="187"/>
      <c r="AM169" s="187"/>
    </row>
    <row r="170" spans="26:39" x14ac:dyDescent="0.25">
      <c r="Z170">
        <v>53</v>
      </c>
      <c r="AA170" s="90" t="s">
        <v>584</v>
      </c>
      <c r="AB170" s="179" t="str">
        <f t="shared" si="31"/>
        <v>Listwa tor. na wkręt szara</v>
      </c>
      <c r="AC170" s="91">
        <f t="shared" si="32"/>
        <v>20.510159999999999</v>
      </c>
      <c r="AD170" s="91">
        <f t="shared" si="33"/>
        <v>20.510159999999999</v>
      </c>
      <c r="AE170" s="191" t="s">
        <v>304</v>
      </c>
      <c r="AF170" s="194" t="str">
        <f>Odečty!$B$13</f>
        <v>-49</v>
      </c>
      <c r="AG170" s="194"/>
      <c r="AH170" s="194"/>
      <c r="AI170" s="194"/>
      <c r="AJ170" s="194"/>
      <c r="AK170" s="194">
        <v>2</v>
      </c>
      <c r="AL170" s="187"/>
      <c r="AM170" s="187"/>
    </row>
    <row r="171" spans="26:39" s="355" customFormat="1" x14ac:dyDescent="0.25">
      <c r="Z171" s="355">
        <v>190</v>
      </c>
      <c r="AA171" s="356" t="s">
        <v>585</v>
      </c>
      <c r="AB171" s="357" t="str">
        <f t="shared" si="31"/>
        <v>Listwa tor.Top-dolna część, ALU 230L</v>
      </c>
      <c r="AC171" s="358">
        <f t="shared" si="32"/>
        <v>65.652900000000002</v>
      </c>
      <c r="AD171" s="358">
        <f t="shared" si="33"/>
        <v>65.652900000000002</v>
      </c>
      <c r="AE171" s="359" t="s">
        <v>305</v>
      </c>
      <c r="AF171" s="360" t="s">
        <v>1308</v>
      </c>
      <c r="AG171" s="360"/>
      <c r="AH171" s="360"/>
      <c r="AI171" s="360">
        <f>IF(NAVIJENI=3,Odečty!$H$13,Odečty!$E$13)</f>
        <v>-61</v>
      </c>
      <c r="AJ171" s="360"/>
      <c r="AK171" s="360">
        <v>2</v>
      </c>
      <c r="AL171" s="361"/>
      <c r="AM171" s="361"/>
    </row>
    <row r="172" spans="26:39" x14ac:dyDescent="0.25">
      <c r="Z172">
        <v>117</v>
      </c>
      <c r="AA172" s="90" t="s">
        <v>586</v>
      </c>
      <c r="AB172" s="179" t="str">
        <f t="shared" si="31"/>
        <v>Ślimak rolety 8mm, dł.zwoju 1280mm czar.</v>
      </c>
      <c r="AC172" s="91">
        <f t="shared" si="32"/>
        <v>40.918610000000001</v>
      </c>
      <c r="AD172" s="91">
        <f t="shared" si="33"/>
        <v>40.918610000000001</v>
      </c>
      <c r="AE172" s="191" t="s">
        <v>306</v>
      </c>
      <c r="AF172" s="194"/>
      <c r="AG172" s="194"/>
      <c r="AH172" s="194"/>
      <c r="AI172" s="194"/>
      <c r="AJ172" s="194"/>
      <c r="AK172" s="194"/>
      <c r="AL172" s="187"/>
      <c r="AM172" s="187"/>
    </row>
    <row r="173" spans="26:39" x14ac:dyDescent="0.25">
      <c r="Z173">
        <v>117</v>
      </c>
      <c r="AA173" s="90" t="s">
        <v>587</v>
      </c>
      <c r="AB173" s="179" t="str">
        <f t="shared" si="31"/>
        <v>Ślimak rolety 8mm, dł.zwoju 1280mm szary</v>
      </c>
      <c r="AC173" s="91">
        <f t="shared" si="32"/>
        <v>40.918610000000001</v>
      </c>
      <c r="AD173" s="91">
        <f t="shared" si="33"/>
        <v>40.918610000000001</v>
      </c>
      <c r="AE173" s="191" t="s">
        <v>307</v>
      </c>
      <c r="AF173" s="194"/>
      <c r="AG173" s="194"/>
      <c r="AH173" s="194"/>
      <c r="AI173" s="194"/>
      <c r="AJ173" s="194"/>
      <c r="AK173" s="194"/>
      <c r="AL173" s="187"/>
      <c r="AM173" s="187"/>
    </row>
    <row r="174" spans="26:39" x14ac:dyDescent="0.25">
      <c r="Z174">
        <v>92</v>
      </c>
      <c r="AA174" s="90" t="s">
        <v>588</v>
      </c>
      <c r="AB174" s="179" t="str">
        <f t="shared" si="31"/>
        <v>Ślimak rolety 8mm, dł.zwoju 670mm czar.</v>
      </c>
      <c r="AC174" s="91">
        <f t="shared" si="32"/>
        <v>30.603929999999998</v>
      </c>
      <c r="AD174" s="91">
        <f t="shared" si="33"/>
        <v>30.603929999999998</v>
      </c>
      <c r="AE174" s="191" t="s">
        <v>308</v>
      </c>
      <c r="AF174" s="194"/>
      <c r="AG174" s="194"/>
      <c r="AH174" s="194"/>
      <c r="AI174" s="194"/>
      <c r="AJ174" s="194"/>
      <c r="AK174" s="194"/>
      <c r="AL174" s="187"/>
      <c r="AM174" s="187"/>
    </row>
    <row r="175" spans="26:39" x14ac:dyDescent="0.25">
      <c r="Z175" s="172" t="s">
        <v>1192</v>
      </c>
      <c r="AA175" s="90" t="s">
        <v>609</v>
      </c>
      <c r="AB175" s="179" t="e">
        <f t="shared" si="31"/>
        <v>#N/A</v>
      </c>
      <c r="AC175" s="91" t="e">
        <f t="shared" si="32"/>
        <v>#N/A</v>
      </c>
      <c r="AD175" s="91" t="e">
        <f t="shared" si="33"/>
        <v>#N/A</v>
      </c>
      <c r="AE175" s="191" t="s">
        <v>309</v>
      </c>
      <c r="AF175" s="194"/>
      <c r="AG175" s="194"/>
      <c r="AH175" s="194"/>
      <c r="AI175" s="194"/>
      <c r="AJ175" s="194"/>
      <c r="AK175" s="194"/>
      <c r="AL175" s="187"/>
      <c r="AM175" s="187"/>
    </row>
    <row r="176" spans="26:39" x14ac:dyDescent="0.25">
      <c r="Z176">
        <v>153</v>
      </c>
      <c r="AA176" s="90" t="s">
        <v>589</v>
      </c>
      <c r="AB176" s="179" t="str">
        <f>VLOOKUP(AA176,$Z$246:$AJ$508,(1+$AE$1),0)</f>
        <v>Ślimak rolety 8mm, dł.zwoju 1590mm czar.</v>
      </c>
      <c r="AC176" s="91">
        <f t="shared" ref="AC176:AC205" si="34">$AB$1*AD176</f>
        <v>50.744320000000002</v>
      </c>
      <c r="AD176" s="91">
        <f t="shared" ref="AD176:AD198" si="35">VLOOKUP(AA176,$Z$246:$AJ$508,(5+$AE$1),0)</f>
        <v>50.744320000000002</v>
      </c>
      <c r="AE176" s="191" t="s">
        <v>310</v>
      </c>
      <c r="AF176" s="194"/>
      <c r="AG176" s="194"/>
      <c r="AH176" s="194"/>
      <c r="AI176" s="194"/>
      <c r="AJ176" s="194"/>
      <c r="AK176" s="194"/>
      <c r="AL176" s="187"/>
      <c r="AM176" s="187"/>
    </row>
    <row r="177" spans="26:39" x14ac:dyDescent="0.25">
      <c r="Z177">
        <v>118</v>
      </c>
      <c r="AA177" s="90" t="s">
        <v>590</v>
      </c>
      <c r="AB177" s="179" t="str">
        <f>VLOOKUP(AA177,$Z$246:$AJ$508,(1+$AE$1),0)</f>
        <v>Ślimak rolety Top/Frame, dł.zwoju 1240mm</v>
      </c>
      <c r="AC177" s="91">
        <f t="shared" si="34"/>
        <v>39.811579999999999</v>
      </c>
      <c r="AD177" s="91">
        <f t="shared" si="35"/>
        <v>39.811579999999999</v>
      </c>
      <c r="AE177" s="191" t="s">
        <v>311</v>
      </c>
      <c r="AF177" s="194"/>
      <c r="AG177" s="194"/>
      <c r="AH177" s="194"/>
      <c r="AI177" s="194"/>
      <c r="AJ177" s="194"/>
      <c r="AK177" s="194"/>
      <c r="AL177" s="187"/>
      <c r="AM177" s="187"/>
    </row>
    <row r="178" spans="26:39" x14ac:dyDescent="0.25">
      <c r="Z178">
        <v>1125</v>
      </c>
      <c r="AA178" s="90">
        <v>95782</v>
      </c>
      <c r="AB178" s="90" t="s">
        <v>313</v>
      </c>
      <c r="AC178" s="91" t="e">
        <f t="shared" si="34"/>
        <v>#N/A</v>
      </c>
      <c r="AD178" s="91" t="e">
        <f t="shared" si="35"/>
        <v>#N/A</v>
      </c>
      <c r="AE178" s="191" t="s">
        <v>312</v>
      </c>
      <c r="AF178" s="194"/>
      <c r="AG178" s="194"/>
      <c r="AH178" s="194"/>
      <c r="AI178" s="194"/>
      <c r="AJ178" s="194"/>
      <c r="AK178" s="194"/>
      <c r="AL178" s="187"/>
      <c r="AM178" s="187"/>
    </row>
    <row r="179" spans="26:39" x14ac:dyDescent="0.25">
      <c r="Z179">
        <v>1399</v>
      </c>
      <c r="AA179" s="90">
        <v>92855</v>
      </c>
      <c r="AB179" s="90" t="s">
        <v>315</v>
      </c>
      <c r="AC179" s="91" t="e">
        <f t="shared" si="34"/>
        <v>#N/A</v>
      </c>
      <c r="AD179" s="91" t="e">
        <f t="shared" si="35"/>
        <v>#N/A</v>
      </c>
      <c r="AE179" s="191" t="s">
        <v>314</v>
      </c>
      <c r="AF179" s="194"/>
      <c r="AG179" s="194"/>
      <c r="AH179" s="194"/>
      <c r="AI179" s="194"/>
      <c r="AJ179" s="194"/>
      <c r="AK179" s="194"/>
      <c r="AL179" s="187"/>
      <c r="AM179" s="187"/>
    </row>
    <row r="180" spans="26:39" x14ac:dyDescent="0.25">
      <c r="Z180">
        <v>88</v>
      </c>
      <c r="AA180" s="90" t="s">
        <v>610</v>
      </c>
      <c r="AB180" s="179" t="str">
        <f t="shared" ref="AB180:AB198" si="36">VLOOKUP(AA180,$Z$246:$AJ$508,(1+$AE$1),0)</f>
        <v>Listwa torowa 15,5mm pionowa ALU 230L</v>
      </c>
      <c r="AC180" s="91" t="e">
        <f t="shared" si="34"/>
        <v>#N/A</v>
      </c>
      <c r="AD180" s="91" t="e">
        <f t="shared" si="35"/>
        <v>#N/A</v>
      </c>
      <c r="AE180" s="191" t="s">
        <v>316</v>
      </c>
      <c r="AF180" s="194"/>
      <c r="AG180" s="194"/>
      <c r="AH180" s="194"/>
      <c r="AI180" s="194"/>
      <c r="AJ180" s="194"/>
      <c r="AK180" s="194">
        <v>2</v>
      </c>
      <c r="AL180" s="187"/>
      <c r="AM180" s="187"/>
    </row>
    <row r="181" spans="26:39" x14ac:dyDescent="0.25">
      <c r="Z181">
        <v>1720</v>
      </c>
      <c r="AA181" s="90" t="s">
        <v>591</v>
      </c>
      <c r="AB181" s="179" t="str">
        <f t="shared" si="36"/>
        <v>Mechanizm roletowy C3 - 600 mm</v>
      </c>
      <c r="AC181" s="91">
        <f t="shared" si="34"/>
        <v>617.58573000000001</v>
      </c>
      <c r="AD181" s="91">
        <f t="shared" si="35"/>
        <v>617.58573000000001</v>
      </c>
      <c r="AE181" s="191" t="s">
        <v>317</v>
      </c>
      <c r="AF181" s="194"/>
      <c r="AG181" s="194"/>
      <c r="AH181" s="194"/>
      <c r="AI181" s="194"/>
      <c r="AJ181" s="194"/>
      <c r="AK181" s="194"/>
      <c r="AL181" s="187"/>
      <c r="AM181" s="187"/>
    </row>
    <row r="182" spans="26:39" x14ac:dyDescent="0.25">
      <c r="Z182">
        <v>1820</v>
      </c>
      <c r="AA182" s="90" t="s">
        <v>592</v>
      </c>
      <c r="AB182" s="179" t="str">
        <f t="shared" si="36"/>
        <v>Mechanizm roletowy  C3 - 800 mm</v>
      </c>
      <c r="AC182" s="91">
        <f t="shared" si="34"/>
        <v>653.04493000000002</v>
      </c>
      <c r="AD182" s="91">
        <f t="shared" si="35"/>
        <v>653.04493000000002</v>
      </c>
      <c r="AE182" s="191" t="s">
        <v>318</v>
      </c>
      <c r="AF182" s="194"/>
      <c r="AG182" s="194"/>
      <c r="AH182" s="194"/>
      <c r="AI182" s="194"/>
      <c r="AJ182" s="194"/>
      <c r="AK182" s="194"/>
      <c r="AL182" s="187"/>
      <c r="AM182" s="187"/>
    </row>
    <row r="183" spans="26:39" x14ac:dyDescent="0.25">
      <c r="Z183">
        <v>1870</v>
      </c>
      <c r="AA183" s="90" t="s">
        <v>593</v>
      </c>
      <c r="AB183" s="179" t="str">
        <f t="shared" si="36"/>
        <v>Mechanizm roletowy  C3 - 1000 mm</v>
      </c>
      <c r="AC183" s="91">
        <f t="shared" si="34"/>
        <v>682.26646000000005</v>
      </c>
      <c r="AD183" s="91">
        <f t="shared" si="35"/>
        <v>682.26646000000005</v>
      </c>
      <c r="AE183" s="191" t="s">
        <v>319</v>
      </c>
      <c r="AF183" s="194"/>
      <c r="AG183" s="194"/>
      <c r="AH183" s="194"/>
      <c r="AI183" s="194"/>
      <c r="AJ183" s="194"/>
      <c r="AK183" s="194"/>
      <c r="AL183" s="187"/>
      <c r="AM183" s="187"/>
    </row>
    <row r="184" spans="26:39" x14ac:dyDescent="0.25">
      <c r="Z184">
        <v>1920</v>
      </c>
      <c r="AA184" s="90" t="s">
        <v>594</v>
      </c>
      <c r="AB184" s="179" t="str">
        <f t="shared" si="36"/>
        <v>Mechanizm roletowy  C3 - 1200 mm</v>
      </c>
      <c r="AC184" s="91">
        <f t="shared" si="34"/>
        <v>705.41887999999994</v>
      </c>
      <c r="AD184" s="91">
        <f t="shared" si="35"/>
        <v>705.41887999999994</v>
      </c>
      <c r="AE184" s="191" t="s">
        <v>320</v>
      </c>
      <c r="AF184" s="194"/>
      <c r="AG184" s="194"/>
      <c r="AH184" s="194"/>
      <c r="AI184" s="194"/>
      <c r="AJ184" s="194"/>
      <c r="AK184" s="194"/>
      <c r="AL184" s="187"/>
      <c r="AM184" s="187"/>
    </row>
    <row r="185" spans="26:39" x14ac:dyDescent="0.25">
      <c r="Z185">
        <v>2290</v>
      </c>
      <c r="AA185" s="90" t="s">
        <v>595</v>
      </c>
      <c r="AB185" s="179" t="str">
        <f t="shared" si="36"/>
        <v>Mechanizm roletowy  C3 - 400 mm</v>
      </c>
      <c r="AC185" s="91">
        <f t="shared" si="34"/>
        <v>620.73266999999998</v>
      </c>
      <c r="AD185" s="91">
        <f t="shared" si="35"/>
        <v>620.73266999999998</v>
      </c>
      <c r="AE185" s="191" t="s">
        <v>321</v>
      </c>
      <c r="AF185" s="194"/>
      <c r="AG185" s="194"/>
      <c r="AH185" s="194"/>
      <c r="AI185" s="194"/>
      <c r="AJ185" s="194"/>
      <c r="AK185" s="194"/>
      <c r="AL185" s="187"/>
      <c r="AM185" s="187"/>
    </row>
    <row r="186" spans="26:39" x14ac:dyDescent="0.25">
      <c r="Z186">
        <v>230</v>
      </c>
      <c r="AA186" s="90" t="s">
        <v>596</v>
      </c>
      <c r="AB186" s="179" t="str">
        <f t="shared" si="36"/>
        <v>Mechanizm roletowy  C6</v>
      </c>
      <c r="AC186" s="91">
        <f t="shared" si="34"/>
        <v>74.031620000000004</v>
      </c>
      <c r="AD186" s="91">
        <f t="shared" si="35"/>
        <v>74.031620000000004</v>
      </c>
      <c r="AE186" s="191" t="s">
        <v>322</v>
      </c>
      <c r="AF186" s="194"/>
      <c r="AG186" s="194"/>
      <c r="AH186" s="194"/>
      <c r="AI186" s="194"/>
      <c r="AJ186" s="194"/>
      <c r="AK186" s="194"/>
      <c r="AL186" s="187"/>
      <c r="AM186" s="187"/>
    </row>
    <row r="187" spans="26:39" x14ac:dyDescent="0.25">
      <c r="Z187">
        <v>245</v>
      </c>
      <c r="AA187" s="90" t="s">
        <v>597</v>
      </c>
      <c r="AB187" s="179" t="e">
        <f t="shared" si="36"/>
        <v>#N/A</v>
      </c>
      <c r="AC187" s="91" t="e">
        <f t="shared" si="34"/>
        <v>#N/A</v>
      </c>
      <c r="AD187" s="91" t="e">
        <f t="shared" si="35"/>
        <v>#N/A</v>
      </c>
      <c r="AE187" s="191" t="s">
        <v>323</v>
      </c>
      <c r="AF187" s="194"/>
      <c r="AG187" s="194"/>
      <c r="AH187" s="194"/>
      <c r="AI187" s="194"/>
      <c r="AJ187" s="194"/>
      <c r="AK187" s="194"/>
      <c r="AL187" s="187"/>
      <c r="AM187" s="187"/>
    </row>
    <row r="188" spans="26:39" x14ac:dyDescent="0.25">
      <c r="Z188">
        <v>80</v>
      </c>
      <c r="AA188" s="90" t="s">
        <v>598</v>
      </c>
      <c r="AB188" s="179" t="str">
        <f t="shared" si="36"/>
        <v>Zaślepka Frame biała</v>
      </c>
      <c r="AC188" s="91">
        <f t="shared" si="34"/>
        <v>27.88409</v>
      </c>
      <c r="AD188" s="91">
        <f t="shared" si="35"/>
        <v>27.88409</v>
      </c>
      <c r="AE188" s="191" t="s">
        <v>324</v>
      </c>
      <c r="AF188" s="194"/>
      <c r="AG188" s="194"/>
      <c r="AH188" s="194"/>
      <c r="AI188" s="194"/>
      <c r="AJ188" s="194"/>
      <c r="AK188" s="194"/>
      <c r="AL188" s="187"/>
      <c r="AM188" s="187"/>
    </row>
    <row r="189" spans="26:39" x14ac:dyDescent="0.25">
      <c r="Z189">
        <v>80</v>
      </c>
      <c r="AA189" s="90" t="s">
        <v>599</v>
      </c>
      <c r="AB189" s="179" t="e">
        <f t="shared" si="36"/>
        <v>#N/A</v>
      </c>
      <c r="AC189" s="91" t="e">
        <f t="shared" si="34"/>
        <v>#N/A</v>
      </c>
      <c r="AD189" s="91" t="e">
        <f t="shared" si="35"/>
        <v>#N/A</v>
      </c>
      <c r="AE189" s="191" t="s">
        <v>325</v>
      </c>
      <c r="AF189" s="194"/>
      <c r="AG189" s="194"/>
      <c r="AH189" s="194"/>
      <c r="AI189" s="194"/>
      <c r="AJ189" s="194"/>
      <c r="AK189" s="194"/>
      <c r="AL189" s="187"/>
      <c r="AM189" s="187"/>
    </row>
    <row r="190" spans="26:39" x14ac:dyDescent="0.25">
      <c r="Z190">
        <v>80</v>
      </c>
      <c r="AA190" s="90" t="s">
        <v>600</v>
      </c>
      <c r="AB190" s="179" t="str">
        <f t="shared" si="36"/>
        <v>Zaślepka Frame jas.brąz (buk)</v>
      </c>
      <c r="AC190" s="91" t="e">
        <f t="shared" si="34"/>
        <v>#N/A</v>
      </c>
      <c r="AD190" s="91" t="e">
        <f t="shared" si="35"/>
        <v>#N/A</v>
      </c>
      <c r="AE190" s="191" t="s">
        <v>326</v>
      </c>
      <c r="AF190" s="194"/>
      <c r="AG190" s="194"/>
      <c r="AH190" s="194"/>
      <c r="AI190" s="194"/>
      <c r="AJ190" s="194"/>
      <c r="AK190" s="194"/>
      <c r="AL190" s="187"/>
      <c r="AM190" s="187"/>
    </row>
    <row r="191" spans="26:39" x14ac:dyDescent="0.25">
      <c r="Z191">
        <v>80</v>
      </c>
      <c r="AA191" s="90" t="s">
        <v>601</v>
      </c>
      <c r="AB191" s="179" t="str">
        <f t="shared" si="36"/>
        <v>Zaślepka Frame czarna</v>
      </c>
      <c r="AC191" s="91">
        <f t="shared" si="34"/>
        <v>27.88409</v>
      </c>
      <c r="AD191" s="91">
        <f t="shared" si="35"/>
        <v>27.88409</v>
      </c>
      <c r="AE191" s="191" t="s">
        <v>327</v>
      </c>
      <c r="AF191" s="194"/>
      <c r="AG191" s="194"/>
      <c r="AH191" s="194"/>
      <c r="AI191" s="194"/>
      <c r="AJ191" s="194"/>
      <c r="AK191" s="194"/>
      <c r="AL191" s="187"/>
      <c r="AM191" s="187"/>
    </row>
    <row r="192" spans="26:39" x14ac:dyDescent="0.25">
      <c r="Z192">
        <v>80</v>
      </c>
      <c r="AA192" s="90" t="s">
        <v>617</v>
      </c>
      <c r="AB192" s="179" t="e">
        <f t="shared" si="36"/>
        <v>#N/A</v>
      </c>
      <c r="AC192" s="91" t="e">
        <f t="shared" si="34"/>
        <v>#N/A</v>
      </c>
      <c r="AD192" s="91" t="e">
        <f t="shared" si="35"/>
        <v>#N/A</v>
      </c>
      <c r="AE192" s="191" t="s">
        <v>328</v>
      </c>
      <c r="AF192" s="194"/>
      <c r="AG192" s="194"/>
      <c r="AH192" s="194"/>
      <c r="AI192" s="194"/>
      <c r="AJ192" s="194"/>
      <c r="AK192" s="194"/>
      <c r="AL192" s="187"/>
      <c r="AM192" s="187"/>
    </row>
    <row r="193" spans="26:41" x14ac:dyDescent="0.25">
      <c r="Z193">
        <v>80</v>
      </c>
      <c r="AA193" s="90" t="s">
        <v>602</v>
      </c>
      <c r="AB193" s="179" t="str">
        <f t="shared" si="36"/>
        <v>Zaślepka Frame beżowa (jawor)</v>
      </c>
      <c r="AC193" s="91" t="e">
        <f t="shared" si="34"/>
        <v>#N/A</v>
      </c>
      <c r="AD193" s="91" t="e">
        <f t="shared" si="35"/>
        <v>#N/A</v>
      </c>
      <c r="AE193" s="191" t="s">
        <v>329</v>
      </c>
      <c r="AF193" s="194"/>
      <c r="AG193" s="194"/>
      <c r="AH193" s="194"/>
      <c r="AI193" s="194"/>
      <c r="AJ193" s="194"/>
      <c r="AK193" s="194"/>
      <c r="AL193" s="187"/>
      <c r="AM193" s="187"/>
    </row>
    <row r="194" spans="26:41" x14ac:dyDescent="0.25">
      <c r="Z194" s="24" t="s">
        <v>2343</v>
      </c>
      <c r="AA194" s="90" t="s">
        <v>603</v>
      </c>
      <c r="AB194" s="179" t="str">
        <f t="shared" si="36"/>
        <v>Zaślepka Frame szara</v>
      </c>
      <c r="AC194" s="91">
        <f t="shared" si="34"/>
        <v>27.88409</v>
      </c>
      <c r="AD194" s="91">
        <f t="shared" si="35"/>
        <v>27.88409</v>
      </c>
      <c r="AE194" s="191" t="s">
        <v>330</v>
      </c>
      <c r="AF194" s="194"/>
      <c r="AG194" s="194"/>
      <c r="AH194" s="194"/>
      <c r="AI194" s="194"/>
      <c r="AJ194" s="194"/>
      <c r="AK194" s="194"/>
      <c r="AL194" s="187"/>
      <c r="AM194" s="187"/>
    </row>
    <row r="195" spans="26:41" x14ac:dyDescent="0.25">
      <c r="Z195">
        <v>80</v>
      </c>
      <c r="AA195" s="90" t="s">
        <v>604</v>
      </c>
      <c r="AB195" s="179" t="str">
        <f t="shared" si="36"/>
        <v>Zaślepka Frame jas. szara (al.)</v>
      </c>
      <c r="AC195" s="91">
        <f t="shared" si="34"/>
        <v>27.88409</v>
      </c>
      <c r="AD195" s="91">
        <f t="shared" si="35"/>
        <v>27.88409</v>
      </c>
      <c r="AE195" s="191" t="s">
        <v>331</v>
      </c>
      <c r="AF195" s="194"/>
      <c r="AG195" s="194"/>
      <c r="AH195" s="194"/>
      <c r="AI195" s="194"/>
      <c r="AJ195" s="194"/>
      <c r="AK195" s="194"/>
      <c r="AL195" s="187"/>
      <c r="AM195" s="187"/>
    </row>
    <row r="196" spans="26:41" x14ac:dyDescent="0.25">
      <c r="Z196">
        <v>80</v>
      </c>
      <c r="AA196" s="90" t="s">
        <v>605</v>
      </c>
      <c r="AB196" s="179" t="e">
        <f t="shared" si="36"/>
        <v>#N/A</v>
      </c>
      <c r="AC196" s="91" t="e">
        <f t="shared" si="34"/>
        <v>#N/A</v>
      </c>
      <c r="AD196" s="91" t="e">
        <f t="shared" si="35"/>
        <v>#N/A</v>
      </c>
      <c r="AE196" s="191" t="s">
        <v>332</v>
      </c>
      <c r="AF196" s="194"/>
      <c r="AG196" s="194"/>
      <c r="AH196" s="194"/>
      <c r="AI196" s="194"/>
      <c r="AJ196" s="194"/>
      <c r="AK196" s="194"/>
      <c r="AL196" s="187"/>
      <c r="AM196" s="187"/>
    </row>
    <row r="197" spans="26:41" x14ac:dyDescent="0.25">
      <c r="Z197">
        <v>20</v>
      </c>
      <c r="AA197" s="171" t="s">
        <v>770</v>
      </c>
      <c r="AB197" s="179" t="str">
        <f t="shared" si="36"/>
        <v>Zaślepka do toru pionow. R92845 lewa</v>
      </c>
      <c r="AC197" s="91">
        <f t="shared" si="34"/>
        <v>3.1188400000000001</v>
      </c>
      <c r="AD197" s="91">
        <f t="shared" si="35"/>
        <v>3.1188400000000001</v>
      </c>
      <c r="AE197" s="191" t="s">
        <v>333</v>
      </c>
      <c r="AF197" s="194"/>
      <c r="AG197" s="194"/>
      <c r="AH197" s="194"/>
      <c r="AI197" s="194"/>
      <c r="AJ197" s="194"/>
      <c r="AK197" s="194"/>
      <c r="AL197" s="187"/>
      <c r="AM197" s="187"/>
    </row>
    <row r="198" spans="26:41" x14ac:dyDescent="0.25">
      <c r="Z198">
        <v>20</v>
      </c>
      <c r="AA198" s="171" t="s">
        <v>778</v>
      </c>
      <c r="AB198" s="179" t="str">
        <f t="shared" si="36"/>
        <v>Zaślepka do toru pionow. R92846 lewa</v>
      </c>
      <c r="AC198" s="91">
        <f t="shared" si="34"/>
        <v>3.1188400000000001</v>
      </c>
      <c r="AD198" s="91">
        <f t="shared" si="35"/>
        <v>3.1188400000000001</v>
      </c>
      <c r="AE198" s="191" t="s">
        <v>334</v>
      </c>
      <c r="AF198" s="194"/>
      <c r="AG198" s="194"/>
      <c r="AH198" s="194"/>
      <c r="AI198" s="194"/>
      <c r="AJ198" s="194"/>
      <c r="AK198" s="194"/>
      <c r="AL198" s="187"/>
      <c r="AM198" s="187"/>
    </row>
    <row r="199" spans="26:41" x14ac:dyDescent="0.25">
      <c r="Z199" t="s">
        <v>377</v>
      </c>
      <c r="AA199" s="93" t="str">
        <f>Překlady!$A$92</f>
        <v>nie można zastosować mech.rolet. C3</v>
      </c>
      <c r="AB199" s="93"/>
      <c r="AC199" s="91">
        <f t="shared" si="34"/>
        <v>0</v>
      </c>
      <c r="AD199" s="145"/>
      <c r="AE199" s="93"/>
      <c r="AF199" s="196"/>
      <c r="AG199" s="194"/>
      <c r="AH199" s="196"/>
      <c r="AI199" s="196"/>
      <c r="AJ199" s="196"/>
      <c r="AK199" s="196"/>
      <c r="AL199" s="93"/>
      <c r="AM199" s="93"/>
      <c r="AO199" s="168"/>
    </row>
    <row r="200" spans="26:41" x14ac:dyDescent="0.25">
      <c r="AA200" s="93"/>
      <c r="AB200" s="93"/>
      <c r="AC200" s="91">
        <f t="shared" si="34"/>
        <v>0</v>
      </c>
      <c r="AD200" s="94"/>
      <c r="AE200" s="93"/>
      <c r="AF200" s="196"/>
      <c r="AG200" s="194"/>
      <c r="AH200" s="196"/>
      <c r="AI200" s="196"/>
      <c r="AJ200" s="196"/>
      <c r="AK200" s="196"/>
      <c r="AL200" s="93"/>
      <c r="AM200" s="93"/>
      <c r="AO200" s="168"/>
    </row>
    <row r="201" spans="26:41" x14ac:dyDescent="0.25">
      <c r="Z201" s="321" t="s">
        <v>2004</v>
      </c>
      <c r="AA201" s="93" t="s">
        <v>636</v>
      </c>
      <c r="AB201" s="179" t="str">
        <f t="shared" ref="AB201:AB204" si="37">VLOOKUP(AA201,$Z$246:$AJ$508,(1+$AE$1),0)</f>
        <v>Roletowy profil E4 al.(plast)</v>
      </c>
      <c r="AC201" s="91">
        <f t="shared" si="34"/>
        <v>25.78689</v>
      </c>
      <c r="AD201" s="91">
        <f t="shared" ref="AD201:AD204" si="38">VLOOKUP(AA201,$Z$246:$AJ$508,(5+$AE$1),0)</f>
        <v>25.78689</v>
      </c>
      <c r="AE201" s="93"/>
      <c r="AF201" s="196"/>
      <c r="AG201" s="194">
        <f>Odečty!$C$15</f>
        <v>14</v>
      </c>
      <c r="AH201" s="196"/>
      <c r="AI201" s="196"/>
      <c r="AJ201" s="196"/>
      <c r="AK201" s="196">
        <v>1</v>
      </c>
      <c r="AL201" s="93"/>
      <c r="AM201" s="93"/>
      <c r="AO201" s="168"/>
    </row>
    <row r="202" spans="26:41" x14ac:dyDescent="0.25">
      <c r="AA202" s="336" t="s">
        <v>663</v>
      </c>
      <c r="AB202" s="179" t="str">
        <f t="shared" si="37"/>
        <v>Listwa tor. 12mm do zafrez. szara</v>
      </c>
      <c r="AC202" s="91">
        <f t="shared" si="34"/>
        <v>12.394579999999999</v>
      </c>
      <c r="AD202" s="91">
        <f t="shared" si="38"/>
        <v>12.394579999999999</v>
      </c>
      <c r="AE202" s="93"/>
      <c r="AF202" s="196"/>
      <c r="AG202" s="194"/>
      <c r="AH202" s="196"/>
      <c r="AI202" s="196"/>
      <c r="AJ202" s="196"/>
      <c r="AK202" s="196">
        <v>2</v>
      </c>
      <c r="AL202" s="93"/>
      <c r="AM202" s="93"/>
      <c r="AO202" s="168"/>
    </row>
    <row r="203" spans="26:41" x14ac:dyDescent="0.25">
      <c r="AA203" s="336" t="s">
        <v>684</v>
      </c>
      <c r="AB203" s="179" t="str">
        <f t="shared" si="37"/>
        <v>Róg list.tor.90 °-12mm szary</v>
      </c>
      <c r="AC203" s="91">
        <f t="shared" si="34"/>
        <v>5.2317799999999997</v>
      </c>
      <c r="AD203" s="91">
        <f t="shared" si="38"/>
        <v>5.2317799999999997</v>
      </c>
      <c r="AE203" s="93"/>
      <c r="AF203" s="196"/>
      <c r="AG203" s="194"/>
      <c r="AH203" s="196"/>
      <c r="AI203" s="196"/>
      <c r="AJ203" s="196"/>
      <c r="AK203" s="196">
        <v>0</v>
      </c>
      <c r="AL203" s="93"/>
      <c r="AM203" s="93"/>
      <c r="AO203" s="168"/>
    </row>
    <row r="204" spans="26:41" x14ac:dyDescent="0.25">
      <c r="AA204" s="336" t="s">
        <v>734</v>
      </c>
      <c r="AB204" s="179" t="str">
        <f t="shared" si="37"/>
        <v>Ślizgacz 12 mm szara</v>
      </c>
      <c r="AC204" s="91">
        <f t="shared" si="34"/>
        <v>9.1345799999999997</v>
      </c>
      <c r="AD204" s="91">
        <f t="shared" si="38"/>
        <v>9.1345799999999997</v>
      </c>
      <c r="AE204" s="93"/>
      <c r="AF204" s="196"/>
      <c r="AG204" s="194"/>
      <c r="AH204" s="196"/>
      <c r="AI204" s="196"/>
      <c r="AJ204" s="196"/>
      <c r="AK204" s="196">
        <v>0</v>
      </c>
      <c r="AL204" s="93"/>
      <c r="AM204" s="93"/>
      <c r="AO204" s="168"/>
    </row>
    <row r="205" spans="26:41" x14ac:dyDescent="0.25">
      <c r="Z205" s="321" t="s">
        <v>2007</v>
      </c>
      <c r="AA205" s="93">
        <v>353554</v>
      </c>
      <c r="AB205" s="179" t="str">
        <f t="shared" ref="AB205:AB210" si="39">VLOOKUP(AA205,$Z$246:$AJ$508,(1+$AE$1),0)</f>
        <v>Roletowy profil E9 jedwabiście biały</v>
      </c>
      <c r="AC205" s="91">
        <f t="shared" si="34"/>
        <v>15.70008</v>
      </c>
      <c r="AD205" s="91">
        <f t="shared" ref="AD205" si="40">VLOOKUP(AA205,$Z$246:$AJ$508,(5+$AE$1),0)</f>
        <v>15.70008</v>
      </c>
      <c r="AE205" s="93"/>
      <c r="AF205" s="196"/>
      <c r="AG205" s="194">
        <f>Odečty!$C$16</f>
        <v>14</v>
      </c>
      <c r="AH205" s="196"/>
      <c r="AI205" s="196">
        <f>Odečty!$E$16</f>
        <v>-9</v>
      </c>
      <c r="AJ205" s="196"/>
      <c r="AK205" s="196">
        <v>1</v>
      </c>
      <c r="AL205" s="93"/>
      <c r="AM205" s="93"/>
      <c r="AO205" s="168"/>
    </row>
    <row r="206" spans="26:41" x14ac:dyDescent="0.25">
      <c r="AA206" s="93">
        <v>353559</v>
      </c>
      <c r="AB206" s="179" t="str">
        <f t="shared" si="39"/>
        <v>Środkowa listwa uchwytowa jedwabiście biała</v>
      </c>
      <c r="AC206" s="91">
        <f t="shared" ref="AC206:AC208" si="41">$AB$1*AD206</f>
        <v>42.180149999999998</v>
      </c>
      <c r="AD206" s="91">
        <f t="shared" ref="AD206:AD210" si="42">VLOOKUP(AA206,$Z$246:$AJ$508,(5+$AE$1),0)</f>
        <v>42.180149999999998</v>
      </c>
      <c r="AE206" s="93"/>
      <c r="AF206" s="196"/>
      <c r="AG206" s="194">
        <f>Odečty!$C$16</f>
        <v>14</v>
      </c>
      <c r="AH206" s="196"/>
      <c r="AI206" s="196">
        <f>Odečty!$E$16</f>
        <v>-9</v>
      </c>
      <c r="AJ206" s="196"/>
      <c r="AK206" s="196">
        <v>1</v>
      </c>
      <c r="AL206" s="93"/>
      <c r="AM206" s="93"/>
      <c r="AO206" s="168"/>
    </row>
    <row r="207" spans="26:41" x14ac:dyDescent="0.25">
      <c r="AA207" s="93">
        <v>353557</v>
      </c>
      <c r="AB207" s="179" t="str">
        <f t="shared" si="39"/>
        <v>Listwa końcowa jedwabiście biała</v>
      </c>
      <c r="AC207" s="91">
        <f t="shared" si="41"/>
        <v>84.051220000000001</v>
      </c>
      <c r="AD207" s="91">
        <f t="shared" si="42"/>
        <v>84.051220000000001</v>
      </c>
      <c r="AE207" s="93"/>
      <c r="AF207" s="196"/>
      <c r="AG207" s="194">
        <f>Odečty!C3</f>
        <v>-6</v>
      </c>
      <c r="AH207" s="196"/>
      <c r="AI207" s="196">
        <f>Odečty!E3</f>
        <v>-29</v>
      </c>
      <c r="AJ207" s="196"/>
      <c r="AK207" s="196">
        <v>1</v>
      </c>
      <c r="AL207" s="93"/>
      <c r="AM207" s="93"/>
      <c r="AO207" s="168"/>
    </row>
    <row r="208" spans="26:41" x14ac:dyDescent="0.25">
      <c r="AA208" s="93">
        <v>353560</v>
      </c>
      <c r="AB208" s="179" t="str">
        <f t="shared" si="39"/>
        <v>Listwa maskująca uni jedwabiście biała</v>
      </c>
      <c r="AC208" s="91">
        <f t="shared" si="41"/>
        <v>45.669879999999999</v>
      </c>
      <c r="AD208" s="91">
        <f t="shared" si="42"/>
        <v>45.669879999999999</v>
      </c>
      <c r="AE208" s="93"/>
      <c r="AF208" s="196"/>
      <c r="AG208" s="194">
        <f>Odečty!C11</f>
        <v>0</v>
      </c>
      <c r="AH208" s="196"/>
      <c r="AI208" s="196">
        <f>Odečty!E11</f>
        <v>-24</v>
      </c>
      <c r="AJ208" s="196"/>
      <c r="AK208" s="196">
        <v>1</v>
      </c>
      <c r="AL208" s="93"/>
      <c r="AM208" s="93"/>
      <c r="AO208" s="168"/>
    </row>
    <row r="209" spans="26:41" x14ac:dyDescent="0.25">
      <c r="AA209" s="93">
        <v>353556</v>
      </c>
      <c r="AB209" s="93" t="str">
        <f t="shared" si="39"/>
        <v>Profil maskujący Top jedwabiście biały</v>
      </c>
      <c r="AC209" s="91">
        <f t="shared" ref="AC209:AC240" si="43">$AB$1*AD209</f>
        <v>18.595009999999998</v>
      </c>
      <c r="AD209" s="94">
        <f t="shared" si="42"/>
        <v>18.595009999999998</v>
      </c>
      <c r="AE209" s="93"/>
      <c r="AF209" s="196"/>
      <c r="AG209" s="194"/>
      <c r="AH209" s="196"/>
      <c r="AI209" s="196">
        <f>Odečty!E14</f>
        <v>0</v>
      </c>
      <c r="AJ209" s="196"/>
      <c r="AK209" s="196">
        <v>2</v>
      </c>
      <c r="AL209" s="93"/>
      <c r="AM209" s="93"/>
      <c r="AO209" s="168"/>
    </row>
    <row r="210" spans="26:41" x14ac:dyDescent="0.25">
      <c r="AA210" s="93">
        <v>353561</v>
      </c>
      <c r="AB210" s="93" t="str">
        <f t="shared" si="39"/>
        <v>Ślizgacz 8 mm biały RAL 9010 do listwy końcowej E9</v>
      </c>
      <c r="AC210" s="91">
        <f t="shared" si="43"/>
        <v>8.5023300000000006</v>
      </c>
      <c r="AD210" s="94">
        <f t="shared" si="42"/>
        <v>8.5023300000000006</v>
      </c>
      <c r="AE210" s="93"/>
      <c r="AF210" s="196"/>
      <c r="AG210" s="194"/>
      <c r="AH210" s="196"/>
      <c r="AI210" s="196"/>
      <c r="AJ210" s="196"/>
      <c r="AK210" s="196">
        <v>0</v>
      </c>
      <c r="AL210" s="93"/>
      <c r="AM210" s="93"/>
      <c r="AO210" s="168"/>
    </row>
    <row r="211" spans="26:41" x14ac:dyDescent="0.25">
      <c r="Z211">
        <v>20</v>
      </c>
      <c r="AA211" s="90" t="s">
        <v>606</v>
      </c>
      <c r="AB211" s="179" t="str">
        <f>VLOOKUP(AA211,$Z$246:$AJ$508,(1+$AE$1),0)</f>
        <v>Róg list.tor. 90 °  Top/Frame</v>
      </c>
      <c r="AC211" s="91">
        <f t="shared" si="43"/>
        <v>6.6591399999999998</v>
      </c>
      <c r="AD211" s="91">
        <f>VLOOKUP(AA211,$Z$246:$AJ$508,(5+$AE$1),0)</f>
        <v>6.6591399999999998</v>
      </c>
      <c r="AE211" s="41" t="s">
        <v>383</v>
      </c>
      <c r="AF211" s="175"/>
      <c r="AG211" s="194"/>
      <c r="AH211" s="175"/>
      <c r="AI211" s="175"/>
      <c r="AJ211" s="175"/>
      <c r="AK211" s="175"/>
      <c r="AL211" s="41"/>
      <c r="AM211" s="41"/>
    </row>
    <row r="212" spans="26:41" x14ac:dyDescent="0.25">
      <c r="Z212" t="s">
        <v>404</v>
      </c>
      <c r="AA212" s="182" t="s">
        <v>1183</v>
      </c>
      <c r="AC212" s="92">
        <f t="shared" si="43"/>
        <v>0</v>
      </c>
      <c r="AD212" s="94"/>
      <c r="AF212" s="175"/>
      <c r="AG212" s="194"/>
      <c r="AH212" s="175"/>
      <c r="AI212" s="175"/>
      <c r="AJ212" s="175"/>
      <c r="AK212" s="175"/>
      <c r="AL212" s="41"/>
      <c r="AM212" s="41"/>
    </row>
    <row r="213" spans="26:41" x14ac:dyDescent="0.25">
      <c r="AA213" s="30" t="s">
        <v>1184</v>
      </c>
      <c r="AC213" s="92">
        <f t="shared" si="43"/>
        <v>0</v>
      </c>
      <c r="AD213" s="94"/>
      <c r="AF213" s="175"/>
      <c r="AG213" s="194"/>
      <c r="AH213" s="175"/>
      <c r="AI213" s="175"/>
      <c r="AJ213" s="175"/>
      <c r="AK213" s="175"/>
      <c r="AL213" s="41"/>
      <c r="AM213" s="41"/>
    </row>
    <row r="214" spans="26:41" x14ac:dyDescent="0.25">
      <c r="AA214" s="30" t="s">
        <v>1185</v>
      </c>
      <c r="AC214" s="92">
        <f t="shared" si="43"/>
        <v>0</v>
      </c>
      <c r="AD214" s="94"/>
      <c r="AF214" s="175"/>
      <c r="AG214" s="194"/>
      <c r="AH214" s="175"/>
      <c r="AI214" s="175"/>
      <c r="AJ214" s="175"/>
      <c r="AK214" s="175"/>
      <c r="AL214" s="41"/>
      <c r="AM214" s="41"/>
    </row>
    <row r="215" spans="26:41" x14ac:dyDescent="0.25">
      <c r="AA215" s="30" t="s">
        <v>1186</v>
      </c>
      <c r="AC215" s="92">
        <f t="shared" si="43"/>
        <v>0</v>
      </c>
      <c r="AD215" s="94"/>
      <c r="AF215" s="175"/>
      <c r="AG215" s="194"/>
      <c r="AH215" s="175"/>
      <c r="AI215" s="175"/>
      <c r="AJ215" s="175"/>
      <c r="AK215" s="175"/>
      <c r="AL215" s="41"/>
      <c r="AM215" s="41"/>
    </row>
    <row r="216" spans="26:41" x14ac:dyDescent="0.25">
      <c r="AA216" s="182" t="s">
        <v>1189</v>
      </c>
      <c r="AC216" s="92">
        <f t="shared" si="43"/>
        <v>0</v>
      </c>
      <c r="AD216" s="94"/>
      <c r="AF216" s="175"/>
      <c r="AG216" s="194"/>
      <c r="AH216" s="175"/>
      <c r="AI216" s="175"/>
      <c r="AJ216" s="175"/>
      <c r="AK216" s="175"/>
      <c r="AL216" s="41"/>
      <c r="AM216" s="41"/>
    </row>
    <row r="217" spans="26:41" x14ac:dyDescent="0.25">
      <c r="AC217" s="92">
        <f t="shared" si="43"/>
        <v>0</v>
      </c>
      <c r="AD217" s="94"/>
      <c r="AF217" s="175"/>
      <c r="AG217" s="194"/>
      <c r="AH217" s="175"/>
      <c r="AI217" s="175"/>
      <c r="AJ217" s="175"/>
      <c r="AK217" s="175"/>
      <c r="AL217" s="41"/>
      <c r="AM217" s="41"/>
    </row>
    <row r="218" spans="26:41" x14ac:dyDescent="0.25">
      <c r="AC218" s="92">
        <f t="shared" si="43"/>
        <v>0</v>
      </c>
      <c r="AD218" s="94"/>
      <c r="AF218" s="175"/>
      <c r="AG218" s="194"/>
      <c r="AH218" s="175"/>
      <c r="AI218" s="175"/>
      <c r="AJ218" s="175"/>
      <c r="AK218" s="175"/>
      <c r="AL218" s="41"/>
      <c r="AM218" s="41"/>
    </row>
    <row r="219" spans="26:41" x14ac:dyDescent="0.25">
      <c r="AC219" s="92">
        <f t="shared" si="43"/>
        <v>0</v>
      </c>
      <c r="AD219" s="94"/>
      <c r="AF219" s="175"/>
      <c r="AG219" s="194"/>
      <c r="AH219" s="175"/>
      <c r="AI219" s="175"/>
      <c r="AJ219" s="175"/>
      <c r="AK219" s="175"/>
      <c r="AL219" s="41"/>
      <c r="AM219" s="41"/>
    </row>
    <row r="220" spans="26:41" x14ac:dyDescent="0.25">
      <c r="Z220">
        <v>18</v>
      </c>
      <c r="AA220" s="90" t="s">
        <v>607</v>
      </c>
      <c r="AB220" s="179" t="str">
        <f>VLOOKUP(AA220,$Z$246:$AJ$508,(1+$AE$1),0)</f>
        <v>Narożnik lis.tor.na wkr. Biały</v>
      </c>
      <c r="AC220" s="91">
        <f t="shared" si="43"/>
        <v>5.8428699999999996</v>
      </c>
      <c r="AD220" s="91">
        <f>VLOOKUP(AA220,$Z$246:$AJ$508,(5+$AE$1),0)</f>
        <v>5.8428699999999996</v>
      </c>
      <c r="AE220" s="191" t="s">
        <v>405</v>
      </c>
      <c r="AF220" s="194"/>
      <c r="AG220" s="194"/>
      <c r="AH220" s="194"/>
      <c r="AI220" s="194"/>
      <c r="AJ220" s="194"/>
      <c r="AK220" s="194"/>
      <c r="AL220" s="187"/>
      <c r="AM220" s="187"/>
    </row>
    <row r="221" spans="26:41" x14ac:dyDescent="0.25">
      <c r="Z221">
        <v>15.5</v>
      </c>
      <c r="AA221" s="90" t="s">
        <v>608</v>
      </c>
      <c r="AB221" s="179" t="str">
        <f>VLOOKUP(AA221,$Z$246:$AJ$508,(1+$AE$1),0)</f>
        <v>Róg list.tor.90 °- 8mm czarny</v>
      </c>
      <c r="AC221" s="91">
        <f t="shared" si="43"/>
        <v>5.2317799999999997</v>
      </c>
      <c r="AD221" s="91">
        <f>VLOOKUP(AA221,$Z$246:$AJ$508,(5+$AE$1),0)</f>
        <v>5.2317799999999997</v>
      </c>
      <c r="AE221" s="191" t="s">
        <v>406</v>
      </c>
      <c r="AF221" s="194"/>
      <c r="AG221" s="194"/>
      <c r="AH221" s="194"/>
      <c r="AI221" s="194"/>
      <c r="AJ221" s="194"/>
      <c r="AK221" s="194"/>
      <c r="AL221" s="187"/>
      <c r="AM221" s="187"/>
    </row>
    <row r="222" spans="26:41" x14ac:dyDescent="0.25">
      <c r="Z222">
        <v>60</v>
      </c>
      <c r="AA222" s="90" t="s">
        <v>611</v>
      </c>
      <c r="AB222" s="179" t="str">
        <f>VLOOKUP(AA222,$Z$246:$AJ$508,(1+$AE$1),0)</f>
        <v>Profil kryjący Top czereś.Havana</v>
      </c>
      <c r="AC222" s="92">
        <f t="shared" si="43"/>
        <v>19.249739999999999</v>
      </c>
      <c r="AD222" s="91">
        <f>VLOOKUP(AA222,$Z$246:$AJ$508,(5+$AE$1),0)</f>
        <v>19.249739999999999</v>
      </c>
      <c r="AE222" s="191" t="s">
        <v>411</v>
      </c>
      <c r="AF222" s="194" t="s">
        <v>1308</v>
      </c>
      <c r="AG222" s="194"/>
      <c r="AH222" s="194"/>
      <c r="AI222" s="194">
        <f>Odečty!$E$14</f>
        <v>0</v>
      </c>
      <c r="AJ222" s="194"/>
      <c r="AK222" s="194">
        <v>2</v>
      </c>
      <c r="AL222" s="187"/>
      <c r="AM222" s="187"/>
    </row>
    <row r="223" spans="26:41" x14ac:dyDescent="0.25">
      <c r="Z223">
        <v>60</v>
      </c>
      <c r="AA223" s="90" t="s">
        <v>612</v>
      </c>
      <c r="AB223" s="179" t="str">
        <f>VLOOKUP(AA223,$Z$246:$AJ$508,(1+$AE$1),0)</f>
        <v>Profil kryjący Top calvados</v>
      </c>
      <c r="AC223" s="92">
        <f t="shared" si="43"/>
        <v>19.249739999999999</v>
      </c>
      <c r="AD223" s="91">
        <f>VLOOKUP(AA223,$Z$246:$AJ$508,(5+$AE$1),0)</f>
        <v>19.249739999999999</v>
      </c>
      <c r="AE223" s="191" t="s">
        <v>410</v>
      </c>
      <c r="AF223" s="194" t="s">
        <v>1308</v>
      </c>
      <c r="AG223" s="194"/>
      <c r="AH223" s="194"/>
      <c r="AI223" s="194">
        <f>Odečty!$E$14</f>
        <v>0</v>
      </c>
      <c r="AJ223" s="194"/>
      <c r="AK223" s="194">
        <v>2</v>
      </c>
      <c r="AL223" s="187"/>
      <c r="AM223" s="187"/>
    </row>
    <row r="224" spans="26:41" x14ac:dyDescent="0.25">
      <c r="Z224">
        <v>150</v>
      </c>
      <c r="AA224" s="90" t="s">
        <v>613</v>
      </c>
      <c r="AB224" s="179" t="str">
        <f>VLOOKUP(AA224,$Z$246:$AJ$508,(1+$AE$1),0)</f>
        <v>Profil kryjący Top 360L</v>
      </c>
      <c r="AC224" s="92">
        <f t="shared" si="43"/>
        <v>91.980369999999994</v>
      </c>
      <c r="AD224" s="91">
        <f>VLOOKUP(AA224,$Z$246:$AJ$508,(5+$AE$1),0)</f>
        <v>91.980369999999994</v>
      </c>
      <c r="AE224" s="191" t="s">
        <v>412</v>
      </c>
      <c r="AF224" s="194" t="s">
        <v>1308</v>
      </c>
      <c r="AG224" s="194"/>
      <c r="AH224" s="194"/>
      <c r="AI224" s="194">
        <f>Odečty!$E$14</f>
        <v>0</v>
      </c>
      <c r="AJ224" s="194"/>
      <c r="AK224" s="194">
        <v>2</v>
      </c>
      <c r="AL224" s="187"/>
      <c r="AM224" s="187"/>
    </row>
    <row r="225" spans="26:40" x14ac:dyDescent="0.25">
      <c r="Z225" t="s">
        <v>377</v>
      </c>
      <c r="AB225" s="41" t="s">
        <v>420</v>
      </c>
      <c r="AC225" s="92">
        <f t="shared" si="43"/>
        <v>0</v>
      </c>
      <c r="AD225" s="145"/>
      <c r="AF225" s="175"/>
      <c r="AG225" s="194"/>
      <c r="AH225" s="175"/>
      <c r="AI225" s="175"/>
      <c r="AJ225" s="175"/>
      <c r="AK225" s="175"/>
      <c r="AL225" s="41"/>
      <c r="AM225" s="41"/>
    </row>
    <row r="226" spans="26:40" x14ac:dyDescent="0.25">
      <c r="AB226" s="41" t="s">
        <v>421</v>
      </c>
      <c r="AC226" s="92">
        <f t="shared" si="43"/>
        <v>0</v>
      </c>
      <c r="AD226" s="145"/>
      <c r="AF226" s="175"/>
      <c r="AG226" s="194"/>
      <c r="AH226" s="175"/>
      <c r="AI226" s="175"/>
      <c r="AJ226" s="175"/>
      <c r="AK226" s="175"/>
      <c r="AL226" s="41"/>
      <c r="AM226" s="41"/>
    </row>
    <row r="227" spans="26:40" x14ac:dyDescent="0.25">
      <c r="AB227" s="41" t="s">
        <v>422</v>
      </c>
      <c r="AC227" s="92">
        <f t="shared" si="43"/>
        <v>0</v>
      </c>
      <c r="AD227" s="145"/>
      <c r="AF227" s="175"/>
      <c r="AG227" s="194"/>
      <c r="AH227" s="175"/>
      <c r="AI227" s="175"/>
      <c r="AJ227" s="175"/>
      <c r="AK227" s="175"/>
      <c r="AL227" s="41"/>
      <c r="AM227" s="41"/>
    </row>
    <row r="228" spans="26:40" x14ac:dyDescent="0.25">
      <c r="AB228" s="41" t="s">
        <v>423</v>
      </c>
      <c r="AC228" s="92">
        <f t="shared" si="43"/>
        <v>0</v>
      </c>
      <c r="AD228" s="145"/>
      <c r="AF228" s="175"/>
      <c r="AG228" s="194"/>
      <c r="AH228" s="175"/>
      <c r="AI228" s="175"/>
      <c r="AJ228" s="175"/>
      <c r="AK228" s="175"/>
      <c r="AL228" s="41"/>
      <c r="AM228" s="41"/>
    </row>
    <row r="229" spans="26:40" x14ac:dyDescent="0.25">
      <c r="Z229" t="s">
        <v>430</v>
      </c>
      <c r="AB229" s="41" t="s">
        <v>431</v>
      </c>
      <c r="AC229" s="92">
        <f t="shared" si="43"/>
        <v>0</v>
      </c>
      <c r="AD229" s="145"/>
      <c r="AF229" s="175"/>
      <c r="AG229" s="194"/>
      <c r="AH229" s="175"/>
      <c r="AI229" s="175"/>
      <c r="AJ229" s="175"/>
      <c r="AK229" s="175"/>
      <c r="AL229" s="41"/>
      <c r="AM229" s="41"/>
    </row>
    <row r="230" spans="26:40" x14ac:dyDescent="0.25">
      <c r="Z230" t="e">
        <v>#N/A</v>
      </c>
      <c r="AB230" s="41" t="s">
        <v>432</v>
      </c>
      <c r="AC230" s="92">
        <f t="shared" si="43"/>
        <v>0</v>
      </c>
      <c r="AD230" s="145"/>
      <c r="AF230" s="175"/>
      <c r="AG230" s="194"/>
      <c r="AH230" s="175"/>
      <c r="AI230" s="175"/>
      <c r="AJ230" s="175"/>
      <c r="AK230" s="175"/>
      <c r="AL230" s="41"/>
      <c r="AM230" s="41"/>
    </row>
    <row r="231" spans="26:40" x14ac:dyDescent="0.25">
      <c r="Z231">
        <v>655</v>
      </c>
      <c r="AA231" s="90" t="s">
        <v>616</v>
      </c>
      <c r="AB231" s="179" t="str">
        <f t="shared" ref="AB231:AB237" si="44">VLOOKUP(AA231,$Z$246:$AJ$508,(1+$AE$1),0)</f>
        <v>Listwa koń.z uskokiem nierdz 360L</v>
      </c>
      <c r="AC231" s="91" t="e">
        <f t="shared" si="43"/>
        <v>#N/A</v>
      </c>
      <c r="AD231" s="91" t="e">
        <f t="shared" ref="AD231:AD237" si="45">VLOOKUP(AA231,$Z$246:$AJ$508,(5+$AE$1),0)</f>
        <v>#N/A</v>
      </c>
      <c r="AE231" s="191" t="s">
        <v>437</v>
      </c>
      <c r="AF231" s="194" t="str">
        <f>Odečty!B5</f>
        <v>-</v>
      </c>
      <c r="AG231" s="194" t="str">
        <f>Odečty!C5</f>
        <v>-</v>
      </c>
      <c r="AH231" s="194">
        <f>Odečty!D5</f>
        <v>-28</v>
      </c>
      <c r="AI231" s="194" t="str">
        <f>Odečty!E5</f>
        <v>-</v>
      </c>
      <c r="AJ231" s="194">
        <f>Odečty!F5</f>
        <v>-29</v>
      </c>
      <c r="AK231" s="194">
        <v>1</v>
      </c>
      <c r="AL231" s="187"/>
      <c r="AM231" s="187"/>
    </row>
    <row r="232" spans="26:40" x14ac:dyDescent="0.25">
      <c r="Z232">
        <v>480</v>
      </c>
      <c r="AA232" s="90" t="s">
        <v>615</v>
      </c>
      <c r="AB232" s="179" t="str">
        <f t="shared" si="44"/>
        <v>Listwa maskująca (profil L) nierdz 360</v>
      </c>
      <c r="AC232" s="91">
        <f t="shared" si="43"/>
        <v>156.99848</v>
      </c>
      <c r="AD232" s="91">
        <f t="shared" si="45"/>
        <v>156.99848</v>
      </c>
      <c r="AE232" s="191" t="s">
        <v>440</v>
      </c>
      <c r="AF232" s="194">
        <f>Odečty!B11</f>
        <v>-26</v>
      </c>
      <c r="AG232" s="194">
        <f>Odečty!C11</f>
        <v>0</v>
      </c>
      <c r="AH232" s="194" t="str">
        <f>Odečty!D11</f>
        <v>-</v>
      </c>
      <c r="AI232" s="194">
        <f>Odečty!E11</f>
        <v>-24</v>
      </c>
      <c r="AJ232" s="194" t="str">
        <f>Odečty!F11</f>
        <v>-</v>
      </c>
      <c r="AK232" s="194">
        <v>1</v>
      </c>
      <c r="AL232" s="187"/>
      <c r="AM232" s="187"/>
    </row>
    <row r="233" spans="26:40" x14ac:dyDescent="0.25">
      <c r="Z233">
        <v>325</v>
      </c>
      <c r="AA233" s="90" t="s">
        <v>614</v>
      </c>
      <c r="AB233" s="179" t="str">
        <f t="shared" si="44"/>
        <v>Profil kryjący nierdz 360L</v>
      </c>
      <c r="AC233" s="91">
        <f t="shared" si="43"/>
        <v>115.13282</v>
      </c>
      <c r="AD233" s="91">
        <f t="shared" si="45"/>
        <v>115.13282</v>
      </c>
      <c r="AE233" s="191" t="s">
        <v>438</v>
      </c>
      <c r="AF233" s="194" t="s">
        <v>1308</v>
      </c>
      <c r="AG233" s="194"/>
      <c r="AH233" s="194">
        <f>Odečty!$D$14</f>
        <v>24</v>
      </c>
      <c r="AI233" s="194"/>
      <c r="AJ233" s="194"/>
      <c r="AK233" s="194">
        <v>2</v>
      </c>
      <c r="AL233" s="187"/>
      <c r="AM233" s="187"/>
    </row>
    <row r="234" spans="26:40" x14ac:dyDescent="0.25">
      <c r="AA234" s="171" t="s">
        <v>1013</v>
      </c>
      <c r="AB234" s="179" t="str">
        <f t="shared" si="44"/>
        <v>Przejście pomiędzy FRAME a mech.C3 czar.</v>
      </c>
      <c r="AC234" s="91">
        <f t="shared" si="43"/>
        <v>7.9179000000000004</v>
      </c>
      <c r="AD234" s="91">
        <f t="shared" si="45"/>
        <v>7.9179000000000004</v>
      </c>
      <c r="AF234" s="175"/>
      <c r="AG234" s="175"/>
      <c r="AH234" s="175"/>
      <c r="AI234" s="175"/>
      <c r="AJ234" s="175"/>
      <c r="AK234" s="175"/>
      <c r="AL234" s="41"/>
      <c r="AM234" s="41"/>
    </row>
    <row r="235" spans="26:40" x14ac:dyDescent="0.25">
      <c r="AA235" s="171" t="s">
        <v>774</v>
      </c>
      <c r="AB235" s="179" t="str">
        <f t="shared" si="44"/>
        <v>Zaślepka do toru pionow. R92845 prawa</v>
      </c>
      <c r="AC235" s="91">
        <f t="shared" si="43"/>
        <v>3.1188400000000001</v>
      </c>
      <c r="AD235" s="91">
        <f t="shared" si="45"/>
        <v>3.1188400000000001</v>
      </c>
      <c r="AF235" s="175"/>
      <c r="AG235" s="175"/>
      <c r="AH235" s="175"/>
      <c r="AI235" s="175"/>
      <c r="AJ235" s="175"/>
      <c r="AK235" s="175"/>
      <c r="AL235" s="41"/>
      <c r="AM235" s="41"/>
    </row>
    <row r="236" spans="26:40" x14ac:dyDescent="0.25">
      <c r="AA236" s="171" t="s">
        <v>782</v>
      </c>
      <c r="AB236" s="179" t="str">
        <f t="shared" si="44"/>
        <v>Zaślepka do toru pionow. R92846 lewa</v>
      </c>
      <c r="AC236" s="91">
        <f t="shared" si="43"/>
        <v>3.1188400000000001</v>
      </c>
      <c r="AD236" s="91">
        <f t="shared" si="45"/>
        <v>3.1188400000000001</v>
      </c>
      <c r="AF236" s="175"/>
      <c r="AG236" s="175"/>
      <c r="AH236" s="175"/>
      <c r="AI236" s="175"/>
      <c r="AJ236" s="175"/>
      <c r="AK236" s="175"/>
      <c r="AL236" s="41"/>
      <c r="AM236" s="41"/>
    </row>
    <row r="237" spans="26:40" x14ac:dyDescent="0.25">
      <c r="AA237" s="90" t="s">
        <v>1195</v>
      </c>
      <c r="AB237" s="179" t="str">
        <f t="shared" si="44"/>
        <v>opłata za przygotowanie żaluzji</v>
      </c>
      <c r="AC237" s="91">
        <f>AD237</f>
        <v>40</v>
      </c>
      <c r="AD237" s="91">
        <f t="shared" si="45"/>
        <v>40</v>
      </c>
      <c r="AF237" s="175"/>
      <c r="AG237" s="175"/>
      <c r="AH237" s="175"/>
      <c r="AI237" s="175"/>
      <c r="AJ237" s="175"/>
      <c r="AK237" s="175"/>
      <c r="AL237" s="41"/>
      <c r="AM237" s="41"/>
    </row>
    <row r="238" spans="26:40" x14ac:dyDescent="0.25">
      <c r="AA238" s="90" t="s">
        <v>523</v>
      </c>
      <c r="AB238" s="179" t="str">
        <f>VLOOKUP(AA238,$Z$246:$AJ$508,(1+$AE$1),0)</f>
        <v>Taśma klejąca, 50m w rolce</v>
      </c>
      <c r="AC238" s="91">
        <f t="shared" si="43"/>
        <v>167.18084999999999</v>
      </c>
      <c r="AD238" s="91">
        <f>VLOOKUP(AA238,$Z$246:$AJ$508,(5+$AE$1),0)</f>
        <v>167.18084999999999</v>
      </c>
      <c r="AF238" s="41"/>
      <c r="AG238" s="41"/>
      <c r="AH238" s="41"/>
      <c r="AI238" s="41"/>
      <c r="AJ238" s="41"/>
      <c r="AK238" s="41"/>
      <c r="AL238" s="41"/>
      <c r="AM238" s="41"/>
    </row>
    <row r="239" spans="26:40" x14ac:dyDescent="0.25">
      <c r="AA239" s="90" t="s">
        <v>1334</v>
      </c>
      <c r="AB239" s="179" t="str">
        <f>VLOOKUP(AA239,$Z$246:$AJ$508,(1+$AE$1),0)</f>
        <v>Taśma klejąca do przylepienia żaluzji</v>
      </c>
      <c r="AC239" s="91">
        <f t="shared" si="43"/>
        <v>3.3436300000000001</v>
      </c>
      <c r="AD239" s="91">
        <f>VLOOKUP(AA239,$Z$246:$AJ$508,(5+$AE$1),0)</f>
        <v>3.3436300000000001</v>
      </c>
      <c r="AF239" s="41"/>
      <c r="AG239" s="41"/>
      <c r="AH239" s="41"/>
      <c r="AI239" s="41"/>
      <c r="AJ239" s="41"/>
      <c r="AK239" s="41"/>
      <c r="AL239" s="41"/>
      <c r="AM239" s="41"/>
    </row>
    <row r="240" spans="26:40" x14ac:dyDescent="0.25">
      <c r="AA240" s="203" t="s">
        <v>766</v>
      </c>
      <c r="AB240" s="204" t="e">
        <f>VLOOKUP(AA240,$Z$246:$AJ$508,(1+$AE$1),0)</f>
        <v>#N/A</v>
      </c>
      <c r="AC240" s="92" t="e">
        <f t="shared" si="43"/>
        <v>#N/A</v>
      </c>
      <c r="AD240" s="92" t="e">
        <f>VLOOKUP(AA240,$Z$246:$AJ$508,(5+$AE$1),0)</f>
        <v>#N/A</v>
      </c>
      <c r="AF240" s="41"/>
      <c r="AG240" s="41"/>
      <c r="AH240" s="41"/>
      <c r="AI240" s="41"/>
      <c r="AJ240" s="41"/>
      <c r="AK240" s="41"/>
      <c r="AL240" s="41"/>
      <c r="AM240" s="41"/>
      <c r="AN240" s="41"/>
    </row>
    <row r="241" spans="26:42" x14ac:dyDescent="0.25">
      <c r="AA241" s="41">
        <v>0</v>
      </c>
      <c r="AF241" s="41"/>
      <c r="AG241" s="41"/>
      <c r="AH241" s="41"/>
      <c r="AI241" s="41"/>
      <c r="AJ241" s="41"/>
      <c r="AK241" s="41"/>
      <c r="AL241" s="41"/>
      <c r="AM241" s="41"/>
      <c r="AN241" t="s">
        <v>723</v>
      </c>
      <c r="AO241" s="41" t="str">
        <f>Překlady!A108</f>
        <v>KOMP.</v>
      </c>
      <c r="AP241" s="41"/>
    </row>
    <row r="242" spans="26:42" x14ac:dyDescent="0.25">
      <c r="Z242" s="172" t="s">
        <v>1178</v>
      </c>
      <c r="AA242" s="203" t="s">
        <v>924</v>
      </c>
      <c r="AB242" s="204" t="str">
        <f>VLOOKUP(AA242,$Z$246:$AJ$508,(1+$AE$1),0)</f>
        <v>Ogran.20mm do koń.list.ALU Kombi</v>
      </c>
      <c r="AC242" s="92">
        <f>$AB$1*AD242</f>
        <v>0.86263999999999996</v>
      </c>
      <c r="AD242" s="92">
        <f>VLOOKUP(AA242,$Z$246:$AJ$508,(5+$AE$1),0)</f>
        <v>0.86263999999999996</v>
      </c>
      <c r="AF242" s="41"/>
      <c r="AG242" s="41"/>
      <c r="AH242" s="41"/>
      <c r="AI242" s="41"/>
      <c r="AJ242" s="41"/>
      <c r="AK242" s="41"/>
      <c r="AL242" s="41"/>
      <c r="AM242" s="41"/>
      <c r="AN242" t="s">
        <v>1727</v>
      </c>
      <c r="AO242" s="41" t="str">
        <f>Překlady!A109</f>
        <v>MB</v>
      </c>
      <c r="AP242" s="41"/>
    </row>
    <row r="243" spans="26:42" x14ac:dyDescent="0.25">
      <c r="Z243" s="172" t="s">
        <v>1179</v>
      </c>
      <c r="AA243" s="203" t="s">
        <v>651</v>
      </c>
      <c r="AB243" s="204" t="str">
        <f t="shared" ref="AB243:AB245" si="46">VLOOKUP(AA243,$Z$246:$AJ$508,(1+$AE$1),0)</f>
        <v>Rolet. prof. Metal-line 25mm al. 230L</v>
      </c>
      <c r="AC243" s="92">
        <f t="shared" ref="AC243:AC245" si="47">$AB$1*AD243</f>
        <v>25.11983</v>
      </c>
      <c r="AD243" s="92">
        <f t="shared" ref="AD243:AD245" si="48">VLOOKUP(AA243,$Z$246:$AJ$508,(5+$AE$1),0)</f>
        <v>25.11983</v>
      </c>
      <c r="AF243" s="41"/>
      <c r="AG243" s="41"/>
      <c r="AH243" s="41"/>
      <c r="AI243" s="41"/>
      <c r="AJ243" s="41"/>
      <c r="AK243" s="41">
        <v>1</v>
      </c>
      <c r="AL243" s="41"/>
      <c r="AM243" s="41"/>
      <c r="AN243" t="s">
        <v>657</v>
      </c>
      <c r="AO243" s="41" t="str">
        <f>Překlady!A110</f>
        <v>PAR.</v>
      </c>
      <c r="AP243" s="41"/>
    </row>
    <row r="244" spans="26:42" x14ac:dyDescent="0.25">
      <c r="Z244" s="172" t="s">
        <v>1180</v>
      </c>
      <c r="AA244" s="203" t="s">
        <v>653</v>
      </c>
      <c r="AB244" s="204" t="str">
        <f>VLOOKUP(AA244,$Z$246:$AJ$508,(1+$AE$1),0)</f>
        <v>Rolet. prof. Metal-line 25mm nierdz. 360</v>
      </c>
      <c r="AC244" s="92">
        <f t="shared" si="47"/>
        <v>27.054500000000001</v>
      </c>
      <c r="AD244" s="92">
        <f t="shared" si="48"/>
        <v>27.054500000000001</v>
      </c>
      <c r="AK244">
        <v>1</v>
      </c>
      <c r="AM244" s="172" t="s">
        <v>767</v>
      </c>
      <c r="AN244" t="s">
        <v>643</v>
      </c>
      <c r="AO244" t="str">
        <f>Překlady!A111</f>
        <v>SZT.</v>
      </c>
    </row>
    <row r="245" spans="26:42" x14ac:dyDescent="0.25">
      <c r="Z245" s="172" t="s">
        <v>1181</v>
      </c>
      <c r="AA245" s="203" t="s">
        <v>655</v>
      </c>
      <c r="AB245" s="204" t="str">
        <f t="shared" si="46"/>
        <v>Ślizgacz Metallic-line 25mm czarny</v>
      </c>
      <c r="AC245" s="92">
        <f t="shared" si="47"/>
        <v>3.1748099999999999</v>
      </c>
      <c r="AD245" s="92">
        <f t="shared" si="48"/>
        <v>3.1748099999999999</v>
      </c>
      <c r="AK245">
        <v>1</v>
      </c>
      <c r="AM245" s="172" t="s">
        <v>630</v>
      </c>
    </row>
    <row r="246" spans="26:42" ht="14.4" x14ac:dyDescent="0.3">
      <c r="Z246" s="173" t="s">
        <v>441</v>
      </c>
      <c r="AA246" s="173" t="s">
        <v>618</v>
      </c>
      <c r="AB246" s="173" t="s">
        <v>624</v>
      </c>
      <c r="AC246" s="173" t="s">
        <v>625</v>
      </c>
      <c r="AD246" s="173" t="s">
        <v>626</v>
      </c>
      <c r="AE246" s="173" t="s">
        <v>620</v>
      </c>
      <c r="AF246" s="173" t="s">
        <v>621</v>
      </c>
      <c r="AG246" s="173" t="s">
        <v>622</v>
      </c>
      <c r="AH246" s="173" t="s">
        <v>623</v>
      </c>
      <c r="AI246" s="173" t="s">
        <v>359</v>
      </c>
      <c r="AJ246" s="173" t="s">
        <v>619</v>
      </c>
      <c r="AK246" s="174"/>
    </row>
    <row r="247" spans="26:42" ht="14.4" x14ac:dyDescent="0.3">
      <c r="Z247" s="173" t="s">
        <v>627</v>
      </c>
      <c r="AA247" s="175" t="s">
        <v>2356</v>
      </c>
      <c r="AB247" s="174" t="s">
        <v>631</v>
      </c>
      <c r="AC247" s="174" t="s">
        <v>1338</v>
      </c>
      <c r="AD247" s="174" t="s">
        <v>2357</v>
      </c>
      <c r="AE247" s="242" t="e">
        <v>#N/A</v>
      </c>
      <c r="AF247" s="175" t="e">
        <v>#N/A</v>
      </c>
      <c r="AG247" s="174" t="e">
        <v>#N/A</v>
      </c>
      <c r="AH247" s="175" t="e">
        <v>#N/A</v>
      </c>
      <c r="AI247" s="174" t="s">
        <v>1727</v>
      </c>
      <c r="AJ247" s="174" t="s">
        <v>630</v>
      </c>
      <c r="AK247" s="174" t="str">
        <f t="shared" ref="AK247:AK310" si="49">VLOOKUP(AI247,$AN$241:$AO$244,2,0)</f>
        <v>MB</v>
      </c>
    </row>
    <row r="248" spans="26:42" ht="14.4" x14ac:dyDescent="0.3">
      <c r="Z248" s="376" t="s">
        <v>633</v>
      </c>
      <c r="AA248" s="175" t="s">
        <v>2358</v>
      </c>
      <c r="AB248" s="174" t="s">
        <v>2359</v>
      </c>
      <c r="AC248" s="174" t="s">
        <v>1339</v>
      </c>
      <c r="AD248" s="174" t="s">
        <v>2360</v>
      </c>
      <c r="AE248" s="242">
        <v>124.03711</v>
      </c>
      <c r="AF248" s="175">
        <v>5.0629400000000002</v>
      </c>
      <c r="AG248" s="174">
        <v>24.962689999999998</v>
      </c>
      <c r="AH248" s="175">
        <v>1968.12447</v>
      </c>
      <c r="AI248" s="174" t="s">
        <v>1727</v>
      </c>
      <c r="AJ248" s="174" t="s">
        <v>630</v>
      </c>
      <c r="AK248" s="174" t="str">
        <f t="shared" si="49"/>
        <v>MB</v>
      </c>
    </row>
    <row r="249" spans="26:42" ht="14.4" x14ac:dyDescent="0.3">
      <c r="Z249" s="173" t="s">
        <v>636</v>
      </c>
      <c r="AA249" s="175" t="s">
        <v>637</v>
      </c>
      <c r="AB249" s="174" t="s">
        <v>637</v>
      </c>
      <c r="AC249" s="174" t="s">
        <v>1340</v>
      </c>
      <c r="AD249" s="174" t="s">
        <v>2361</v>
      </c>
      <c r="AE249" s="242">
        <v>128.13247000000001</v>
      </c>
      <c r="AF249" s="175">
        <v>5.2300899999999997</v>
      </c>
      <c r="AG249" s="174">
        <v>25.78689</v>
      </c>
      <c r="AH249" s="175">
        <v>2094.0994700000001</v>
      </c>
      <c r="AI249" s="174" t="s">
        <v>1727</v>
      </c>
      <c r="AJ249" s="337" t="s">
        <v>767</v>
      </c>
      <c r="AK249" s="174" t="str">
        <f t="shared" si="49"/>
        <v>MB</v>
      </c>
    </row>
    <row r="250" spans="26:42" ht="14.4" x14ac:dyDescent="0.3">
      <c r="Z250" s="173" t="s">
        <v>638</v>
      </c>
      <c r="AA250" s="175" t="s">
        <v>639</v>
      </c>
      <c r="AB250" s="174" t="s">
        <v>639</v>
      </c>
      <c r="AC250" s="174" t="s">
        <v>1341</v>
      </c>
      <c r="AD250" s="174" t="s">
        <v>2362</v>
      </c>
      <c r="AE250" s="242" t="e">
        <v>#N/A</v>
      </c>
      <c r="AF250" s="175" t="e">
        <v>#N/A</v>
      </c>
      <c r="AG250" s="174" t="e">
        <v>#N/A</v>
      </c>
      <c r="AH250" s="175" t="e">
        <v>#N/A</v>
      </c>
      <c r="AI250" s="174" t="s">
        <v>1727</v>
      </c>
      <c r="AJ250" s="174" t="s">
        <v>630</v>
      </c>
      <c r="AK250" s="174" t="str">
        <f t="shared" si="49"/>
        <v>MB</v>
      </c>
    </row>
    <row r="251" spans="26:42" ht="14.4" x14ac:dyDescent="0.3">
      <c r="Z251" s="173" t="s">
        <v>641</v>
      </c>
      <c r="AA251" s="175" t="s">
        <v>2363</v>
      </c>
      <c r="AB251" s="174" t="s">
        <v>644</v>
      </c>
      <c r="AC251" s="174" t="s">
        <v>1342</v>
      </c>
      <c r="AD251" s="174" t="s">
        <v>2364</v>
      </c>
      <c r="AE251" s="242" t="e">
        <v>#N/A</v>
      </c>
      <c r="AF251" s="175" t="e">
        <v>#N/A</v>
      </c>
      <c r="AG251" s="174" t="e">
        <v>#N/A</v>
      </c>
      <c r="AH251" s="175" t="e">
        <v>#N/A</v>
      </c>
      <c r="AI251" s="174" t="s">
        <v>643</v>
      </c>
      <c r="AJ251" s="174" t="s">
        <v>630</v>
      </c>
      <c r="AK251" s="174" t="str">
        <f t="shared" si="49"/>
        <v>SZT.</v>
      </c>
    </row>
    <row r="252" spans="26:42" ht="14.4" x14ac:dyDescent="0.3">
      <c r="Z252" s="352" t="s">
        <v>646</v>
      </c>
      <c r="AA252" s="175" t="e">
        <v>#N/A</v>
      </c>
      <c r="AB252" s="174" t="e">
        <v>#N/A</v>
      </c>
      <c r="AC252" s="174" t="e">
        <v>#N/A</v>
      </c>
      <c r="AD252" s="174" t="e">
        <v>#N/A</v>
      </c>
      <c r="AE252" s="242" t="e">
        <v>#N/A</v>
      </c>
      <c r="AF252" s="175" t="e">
        <v>#N/A</v>
      </c>
      <c r="AG252" s="174" t="e">
        <v>#N/A</v>
      </c>
      <c r="AH252" s="175" t="e">
        <v>#N/A</v>
      </c>
      <c r="AI252" s="174" t="e">
        <v>#N/A</v>
      </c>
      <c r="AJ252" s="174" t="e">
        <v>#N/A</v>
      </c>
      <c r="AK252" s="174" t="e">
        <f t="shared" si="49"/>
        <v>#N/A</v>
      </c>
    </row>
    <row r="253" spans="26:42" ht="14.4" x14ac:dyDescent="0.3">
      <c r="Z253" s="173" t="s">
        <v>647</v>
      </c>
      <c r="AA253" s="175" t="e">
        <v>#N/A</v>
      </c>
      <c r="AB253" s="174" t="e">
        <v>#N/A</v>
      </c>
      <c r="AC253" s="174" t="e">
        <v>#N/A</v>
      </c>
      <c r="AD253" s="174" t="e">
        <v>#N/A</v>
      </c>
      <c r="AE253" s="242" t="e">
        <v>#N/A</v>
      </c>
      <c r="AF253" s="175" t="e">
        <v>#N/A</v>
      </c>
      <c r="AG253" s="174" t="e">
        <v>#N/A</v>
      </c>
      <c r="AH253" s="175" t="e">
        <v>#N/A</v>
      </c>
      <c r="AI253" s="174" t="e">
        <v>#N/A</v>
      </c>
      <c r="AJ253" s="174" t="e">
        <v>#N/A</v>
      </c>
      <c r="AK253" s="174" t="e">
        <f t="shared" si="49"/>
        <v>#N/A</v>
      </c>
    </row>
    <row r="254" spans="26:42" ht="14.4" x14ac:dyDescent="0.3">
      <c r="Z254" s="173" t="s">
        <v>648</v>
      </c>
      <c r="AA254" s="175" t="e">
        <v>#N/A</v>
      </c>
      <c r="AB254" s="174" t="e">
        <v>#N/A</v>
      </c>
      <c r="AC254" s="174" t="e">
        <v>#N/A</v>
      </c>
      <c r="AD254" s="174" t="e">
        <v>#N/A</v>
      </c>
      <c r="AE254" s="242" t="e">
        <v>#N/A</v>
      </c>
      <c r="AF254" s="175" t="e">
        <v>#N/A</v>
      </c>
      <c r="AG254" s="174" t="e">
        <v>#N/A</v>
      </c>
      <c r="AH254" s="175" t="e">
        <v>#N/A</v>
      </c>
      <c r="AI254" s="174" t="e">
        <v>#N/A</v>
      </c>
      <c r="AJ254" s="174" t="e">
        <v>#N/A</v>
      </c>
      <c r="AK254" s="174" t="e">
        <f t="shared" si="49"/>
        <v>#N/A</v>
      </c>
    </row>
    <row r="255" spans="26:42" ht="14.4" x14ac:dyDescent="0.3">
      <c r="Z255" s="173" t="s">
        <v>649</v>
      </c>
      <c r="AA255" s="175" t="e">
        <v>#N/A</v>
      </c>
      <c r="AB255" s="174" t="e">
        <v>#N/A</v>
      </c>
      <c r="AC255" s="174" t="e">
        <v>#N/A</v>
      </c>
      <c r="AD255" s="174" t="e">
        <v>#N/A</v>
      </c>
      <c r="AE255" s="242" t="e">
        <v>#N/A</v>
      </c>
      <c r="AF255" s="175" t="e">
        <v>#N/A</v>
      </c>
      <c r="AG255" s="174" t="e">
        <v>#N/A</v>
      </c>
      <c r="AH255" s="175" t="e">
        <v>#N/A</v>
      </c>
      <c r="AI255" s="174" t="e">
        <v>#N/A</v>
      </c>
      <c r="AJ255" s="174" t="e">
        <v>#N/A</v>
      </c>
      <c r="AK255" s="174" t="e">
        <f t="shared" si="49"/>
        <v>#N/A</v>
      </c>
    </row>
    <row r="256" spans="26:42" ht="14.4" x14ac:dyDescent="0.3">
      <c r="Z256" s="173" t="s">
        <v>650</v>
      </c>
      <c r="AA256" s="175" t="e">
        <v>#N/A</v>
      </c>
      <c r="AB256" s="174" t="e">
        <v>#N/A</v>
      </c>
      <c r="AC256" s="174" t="e">
        <v>#N/A</v>
      </c>
      <c r="AD256" s="174" t="e">
        <v>#N/A</v>
      </c>
      <c r="AE256" s="242" t="e">
        <v>#N/A</v>
      </c>
      <c r="AF256" s="175" t="e">
        <v>#N/A</v>
      </c>
      <c r="AG256" s="174" t="e">
        <v>#N/A</v>
      </c>
      <c r="AH256" s="175" t="e">
        <v>#N/A</v>
      </c>
      <c r="AI256" s="174" t="e">
        <v>#N/A</v>
      </c>
      <c r="AJ256" s="174" t="e">
        <v>#N/A</v>
      </c>
      <c r="AK256" s="174" t="e">
        <f t="shared" si="49"/>
        <v>#N/A</v>
      </c>
    </row>
    <row r="257" spans="26:37" ht="14.4" x14ac:dyDescent="0.3">
      <c r="Z257" s="173" t="s">
        <v>531</v>
      </c>
      <c r="AA257" s="175" t="s">
        <v>2365</v>
      </c>
      <c r="AB257" s="174" t="s">
        <v>900</v>
      </c>
      <c r="AC257" s="174" t="s">
        <v>1417</v>
      </c>
      <c r="AD257" s="174" t="s">
        <v>2366</v>
      </c>
      <c r="AE257" s="242">
        <v>95.819739999999996</v>
      </c>
      <c r="AF257" s="175">
        <v>3.9111600000000002</v>
      </c>
      <c r="AG257" s="174">
        <v>19.28388</v>
      </c>
      <c r="AH257" s="175">
        <v>1566.0046400000001</v>
      </c>
      <c r="AI257" s="174" t="s">
        <v>1727</v>
      </c>
      <c r="AJ257" s="174" t="s">
        <v>767</v>
      </c>
      <c r="AK257" s="174" t="str">
        <f t="shared" si="49"/>
        <v>MB</v>
      </c>
    </row>
    <row r="258" spans="26:37" ht="14.4" x14ac:dyDescent="0.3">
      <c r="Z258" s="173" t="s">
        <v>527</v>
      </c>
      <c r="AA258" s="175" t="s">
        <v>2367</v>
      </c>
      <c r="AB258" s="174" t="s">
        <v>953</v>
      </c>
      <c r="AC258" s="174" t="s">
        <v>1435</v>
      </c>
      <c r="AD258" s="174" t="s">
        <v>2368</v>
      </c>
      <c r="AE258" s="242">
        <v>95.819739999999996</v>
      </c>
      <c r="AF258" s="175">
        <v>3.9111600000000002</v>
      </c>
      <c r="AG258" s="174">
        <v>19.28388</v>
      </c>
      <c r="AH258" s="175">
        <v>1566.0046400000001</v>
      </c>
      <c r="AI258" s="174" t="s">
        <v>1727</v>
      </c>
      <c r="AJ258" s="174" t="s">
        <v>767</v>
      </c>
      <c r="AK258" s="174" t="str">
        <f t="shared" si="49"/>
        <v>MB</v>
      </c>
    </row>
    <row r="259" spans="26:37" ht="14.4" x14ac:dyDescent="0.3">
      <c r="Z259" s="173" t="s">
        <v>534</v>
      </c>
      <c r="AA259" s="175" t="s">
        <v>2369</v>
      </c>
      <c r="AB259" s="174" t="s">
        <v>2370</v>
      </c>
      <c r="AC259" s="174" t="s">
        <v>1411</v>
      </c>
      <c r="AD259" s="174" t="s">
        <v>2371</v>
      </c>
      <c r="AE259" s="242">
        <v>95.819739999999996</v>
      </c>
      <c r="AF259" s="175">
        <v>3.9111600000000002</v>
      </c>
      <c r="AG259" s="174">
        <v>19.28388</v>
      </c>
      <c r="AH259" s="175">
        <v>1566.0046400000001</v>
      </c>
      <c r="AI259" s="174" t="s">
        <v>1727</v>
      </c>
      <c r="AJ259" s="174" t="s">
        <v>767</v>
      </c>
      <c r="AK259" s="174" t="str">
        <f t="shared" si="49"/>
        <v>MB</v>
      </c>
    </row>
    <row r="260" spans="26:37" ht="14.4" x14ac:dyDescent="0.3">
      <c r="Z260" s="173" t="s">
        <v>532</v>
      </c>
      <c r="AA260" s="175" t="s">
        <v>803</v>
      </c>
      <c r="AB260" s="174" t="s">
        <v>803</v>
      </c>
      <c r="AC260" s="174" t="s">
        <v>1381</v>
      </c>
      <c r="AD260" s="174" t="s">
        <v>2372</v>
      </c>
      <c r="AE260" s="242">
        <v>104.8043</v>
      </c>
      <c r="AF260" s="175">
        <v>4.2778799999999997</v>
      </c>
      <c r="AG260" s="174">
        <v>21.09207</v>
      </c>
      <c r="AH260" s="175">
        <v>1712.84178</v>
      </c>
      <c r="AI260" s="174" t="s">
        <v>1727</v>
      </c>
      <c r="AJ260" s="174" t="s">
        <v>767</v>
      </c>
      <c r="AK260" s="174" t="str">
        <f t="shared" si="49"/>
        <v>MB</v>
      </c>
    </row>
    <row r="261" spans="26:37" ht="14.4" x14ac:dyDescent="0.3">
      <c r="Z261" s="173" t="s">
        <v>529</v>
      </c>
      <c r="AA261" s="175" t="s">
        <v>859</v>
      </c>
      <c r="AB261" s="174" t="s">
        <v>859</v>
      </c>
      <c r="AC261" s="174" t="s">
        <v>1401</v>
      </c>
      <c r="AD261" s="174" t="s">
        <v>2373</v>
      </c>
      <c r="AE261" s="242">
        <v>104.8043</v>
      </c>
      <c r="AF261" s="175">
        <v>4.2778799999999997</v>
      </c>
      <c r="AG261" s="174">
        <v>21.09207</v>
      </c>
      <c r="AH261" s="175">
        <v>1712.84178</v>
      </c>
      <c r="AI261" s="174" t="s">
        <v>1727</v>
      </c>
      <c r="AJ261" s="174" t="s">
        <v>767</v>
      </c>
      <c r="AK261" s="174" t="str">
        <f t="shared" si="49"/>
        <v>MB</v>
      </c>
    </row>
    <row r="262" spans="26:37" ht="14.4" x14ac:dyDescent="0.3">
      <c r="Z262" s="173" t="s">
        <v>533</v>
      </c>
      <c r="AA262" s="175" t="s">
        <v>873</v>
      </c>
      <c r="AB262" s="174" t="s">
        <v>873</v>
      </c>
      <c r="AC262" s="174" t="s">
        <v>1407</v>
      </c>
      <c r="AD262" s="174" t="s">
        <v>2374</v>
      </c>
      <c r="AE262" s="242">
        <v>104.8043</v>
      </c>
      <c r="AF262" s="175">
        <v>4.2778799999999997</v>
      </c>
      <c r="AG262" s="174">
        <v>21.09207</v>
      </c>
      <c r="AH262" s="175">
        <v>1712.84178</v>
      </c>
      <c r="AI262" s="174" t="s">
        <v>1727</v>
      </c>
      <c r="AJ262" s="174" t="s">
        <v>767</v>
      </c>
      <c r="AK262" s="174" t="str">
        <f t="shared" si="49"/>
        <v>MB</v>
      </c>
    </row>
    <row r="263" spans="26:37" ht="14.4" x14ac:dyDescent="0.3">
      <c r="Z263" s="173" t="s">
        <v>536</v>
      </c>
      <c r="AA263" s="175" t="s">
        <v>815</v>
      </c>
      <c r="AB263" s="174" t="s">
        <v>816</v>
      </c>
      <c r="AC263" s="174" t="s">
        <v>1385</v>
      </c>
      <c r="AD263" s="174" t="s">
        <v>2375</v>
      </c>
      <c r="AE263" s="242">
        <v>104.8043</v>
      </c>
      <c r="AF263" s="175">
        <v>4.2778799999999997</v>
      </c>
      <c r="AG263" s="174">
        <v>21.09207</v>
      </c>
      <c r="AH263" s="175">
        <v>1712.84178</v>
      </c>
      <c r="AI263" s="174" t="s">
        <v>1727</v>
      </c>
      <c r="AJ263" s="174" t="s">
        <v>767</v>
      </c>
      <c r="AK263" s="174" t="str">
        <f t="shared" si="49"/>
        <v>MB</v>
      </c>
    </row>
    <row r="264" spans="26:37" ht="14.4" x14ac:dyDescent="0.3">
      <c r="Z264" s="173" t="s">
        <v>528</v>
      </c>
      <c r="AA264" s="175" t="s">
        <v>1000</v>
      </c>
      <c r="AB264" s="174" t="s">
        <v>1001</v>
      </c>
      <c r="AC264" s="174" t="s">
        <v>1448</v>
      </c>
      <c r="AD264" s="174" t="s">
        <v>2376</v>
      </c>
      <c r="AE264" s="242">
        <v>104.8043</v>
      </c>
      <c r="AF264" s="175">
        <v>4.2778799999999997</v>
      </c>
      <c r="AG264" s="174">
        <v>21.09207</v>
      </c>
      <c r="AH264" s="175">
        <v>1712.84178</v>
      </c>
      <c r="AI264" s="174" t="s">
        <v>1727</v>
      </c>
      <c r="AJ264" s="174" t="s">
        <v>767</v>
      </c>
      <c r="AK264" s="174" t="str">
        <f t="shared" si="49"/>
        <v>MB</v>
      </c>
    </row>
    <row r="265" spans="26:37" ht="14.4" x14ac:dyDescent="0.3">
      <c r="Z265" s="173" t="s">
        <v>535</v>
      </c>
      <c r="AA265" s="175" t="s">
        <v>2377</v>
      </c>
      <c r="AB265" s="174" t="s">
        <v>819</v>
      </c>
      <c r="AC265" s="174" t="s">
        <v>1386</v>
      </c>
      <c r="AD265" s="174" t="s">
        <v>2378</v>
      </c>
      <c r="AE265" s="242" t="e">
        <v>#N/A</v>
      </c>
      <c r="AF265" s="175" t="e">
        <v>#N/A</v>
      </c>
      <c r="AG265" s="174" t="e">
        <v>#N/A</v>
      </c>
      <c r="AH265" s="175" t="e">
        <v>#N/A</v>
      </c>
      <c r="AI265" s="174" t="s">
        <v>1727</v>
      </c>
      <c r="AJ265" s="174" t="s">
        <v>767</v>
      </c>
      <c r="AK265" s="174" t="str">
        <f t="shared" si="49"/>
        <v>MB</v>
      </c>
    </row>
    <row r="266" spans="26:37" ht="14.4" x14ac:dyDescent="0.3">
      <c r="Z266" s="173" t="s">
        <v>530</v>
      </c>
      <c r="AA266" s="175" t="s">
        <v>821</v>
      </c>
      <c r="AB266" s="174" t="s">
        <v>822</v>
      </c>
      <c r="AC266" s="174" t="s">
        <v>1387</v>
      </c>
      <c r="AD266" s="174" t="s">
        <v>2379</v>
      </c>
      <c r="AE266" s="242">
        <v>82.935789999999997</v>
      </c>
      <c r="AF266" s="175">
        <v>3.3852699999999998</v>
      </c>
      <c r="AG266" s="174">
        <v>16.690989999999999</v>
      </c>
      <c r="AH266" s="175">
        <v>1315.9606000000001</v>
      </c>
      <c r="AI266" s="174" t="s">
        <v>1727</v>
      </c>
      <c r="AJ266" s="174" t="s">
        <v>767</v>
      </c>
      <c r="AK266" s="174" t="str">
        <f t="shared" si="49"/>
        <v>MB</v>
      </c>
    </row>
    <row r="267" spans="26:37" ht="14.4" x14ac:dyDescent="0.3">
      <c r="Z267" s="173" t="s">
        <v>526</v>
      </c>
      <c r="AA267" s="175" t="e">
        <v>#N/A</v>
      </c>
      <c r="AB267" s="174" t="e">
        <v>#N/A</v>
      </c>
      <c r="AC267" s="174" t="e">
        <v>#N/A</v>
      </c>
      <c r="AD267" s="174" t="e">
        <v>#N/A</v>
      </c>
      <c r="AE267" s="242" t="e">
        <v>#N/A</v>
      </c>
      <c r="AF267" s="175" t="e">
        <v>#N/A</v>
      </c>
      <c r="AG267" s="174" t="e">
        <v>#N/A</v>
      </c>
      <c r="AH267" s="175" t="e">
        <v>#N/A</v>
      </c>
      <c r="AI267" s="174" t="e">
        <v>#N/A</v>
      </c>
      <c r="AJ267" s="174" t="e">
        <v>#N/A</v>
      </c>
      <c r="AK267" s="174" t="e">
        <f t="shared" si="49"/>
        <v>#N/A</v>
      </c>
    </row>
    <row r="268" spans="26:37" ht="14.4" x14ac:dyDescent="0.3">
      <c r="Z268" s="173" t="s">
        <v>524</v>
      </c>
      <c r="AA268" s="175" t="s">
        <v>2380</v>
      </c>
      <c r="AB268" s="174" t="s">
        <v>2381</v>
      </c>
      <c r="AC268" s="174" t="s">
        <v>1438</v>
      </c>
      <c r="AD268" s="174" t="s">
        <v>2382</v>
      </c>
      <c r="AE268" s="242">
        <v>98.184399999999997</v>
      </c>
      <c r="AF268" s="175">
        <v>4.0076900000000002</v>
      </c>
      <c r="AG268" s="174">
        <v>19.759789999999999</v>
      </c>
      <c r="AH268" s="175">
        <v>1604.6512700000001</v>
      </c>
      <c r="AI268" s="174" t="s">
        <v>1727</v>
      </c>
      <c r="AJ268" s="174" t="s">
        <v>767</v>
      </c>
      <c r="AK268" s="174" t="str">
        <f t="shared" si="49"/>
        <v>MB</v>
      </c>
    </row>
    <row r="269" spans="26:37" ht="14.4" x14ac:dyDescent="0.3">
      <c r="Z269" s="173" t="s">
        <v>525</v>
      </c>
      <c r="AA269" s="175" t="s">
        <v>2383</v>
      </c>
      <c r="AB269" s="174" t="s">
        <v>2384</v>
      </c>
      <c r="AC269" s="174" t="s">
        <v>1406</v>
      </c>
      <c r="AD269" s="174" t="s">
        <v>2385</v>
      </c>
      <c r="AE269" s="242">
        <v>102.7539</v>
      </c>
      <c r="AF269" s="175">
        <v>4.1942000000000004</v>
      </c>
      <c r="AG269" s="174">
        <v>20.679410000000001</v>
      </c>
      <c r="AH269" s="175">
        <v>1630.4189699999999</v>
      </c>
      <c r="AI269" s="174" t="s">
        <v>1727</v>
      </c>
      <c r="AJ269" s="174" t="s">
        <v>767</v>
      </c>
      <c r="AK269" s="174" t="str">
        <f t="shared" si="49"/>
        <v>MB</v>
      </c>
    </row>
    <row r="270" spans="26:37" ht="14.4" x14ac:dyDescent="0.3">
      <c r="Z270" s="173" t="s">
        <v>451</v>
      </c>
      <c r="AA270" s="175" t="s">
        <v>2386</v>
      </c>
      <c r="AB270" s="174" t="s">
        <v>962</v>
      </c>
      <c r="AC270" s="174" t="s">
        <v>1439</v>
      </c>
      <c r="AD270" s="174" t="s">
        <v>2387</v>
      </c>
      <c r="AE270" s="242">
        <v>2.9943</v>
      </c>
      <c r="AF270" s="175">
        <v>0.12223000000000001</v>
      </c>
      <c r="AG270" s="174">
        <v>0.60260999999999998</v>
      </c>
      <c r="AH270" s="175">
        <v>48.93674</v>
      </c>
      <c r="AI270" s="174" t="s">
        <v>643</v>
      </c>
      <c r="AJ270" s="174" t="s">
        <v>767</v>
      </c>
      <c r="AK270" s="174" t="str">
        <f t="shared" si="49"/>
        <v>SZT.</v>
      </c>
    </row>
    <row r="271" spans="26:37" ht="14.4" x14ac:dyDescent="0.3">
      <c r="Z271" s="173" t="s">
        <v>651</v>
      </c>
      <c r="AA271" s="175" t="s">
        <v>2388</v>
      </c>
      <c r="AB271" s="174" t="s">
        <v>2389</v>
      </c>
      <c r="AC271" s="174" t="s">
        <v>1343</v>
      </c>
      <c r="AD271" s="174" t="s">
        <v>2390</v>
      </c>
      <c r="AE271" s="242">
        <v>124.81787</v>
      </c>
      <c r="AF271" s="175">
        <v>5.0947899999999997</v>
      </c>
      <c r="AG271" s="174">
        <v>25.11983</v>
      </c>
      <c r="AH271" s="175">
        <v>2039.9282800000001</v>
      </c>
      <c r="AI271" s="174" t="s">
        <v>1727</v>
      </c>
      <c r="AJ271" s="174" t="s">
        <v>767</v>
      </c>
      <c r="AK271" s="174" t="str">
        <f t="shared" si="49"/>
        <v>MB</v>
      </c>
    </row>
    <row r="272" spans="26:37" s="169" customFormat="1" ht="14.4" x14ac:dyDescent="0.3">
      <c r="Z272" s="377" t="s">
        <v>653</v>
      </c>
      <c r="AA272" s="378" t="s">
        <v>2391</v>
      </c>
      <c r="AB272" s="378" t="s">
        <v>2392</v>
      </c>
      <c r="AC272" s="378" t="s">
        <v>1344</v>
      </c>
      <c r="AD272" s="378" t="s">
        <v>2393</v>
      </c>
      <c r="AE272" s="242">
        <v>134.43099000000001</v>
      </c>
      <c r="AF272" s="175">
        <v>5.48719</v>
      </c>
      <c r="AG272" s="378">
        <v>27.054500000000001</v>
      </c>
      <c r="AH272" s="378">
        <v>2197.03782</v>
      </c>
      <c r="AI272" s="378" t="s">
        <v>1727</v>
      </c>
      <c r="AJ272" s="378" t="s">
        <v>767</v>
      </c>
      <c r="AK272" s="378" t="str">
        <f t="shared" si="49"/>
        <v>MB</v>
      </c>
    </row>
    <row r="273" spans="26:37" ht="14.4" x14ac:dyDescent="0.3">
      <c r="Z273" s="173" t="s">
        <v>655</v>
      </c>
      <c r="AA273" s="175" t="s">
        <v>2394</v>
      </c>
      <c r="AB273" s="174" t="s">
        <v>658</v>
      </c>
      <c r="AC273" s="174" t="s">
        <v>1345</v>
      </c>
      <c r="AD273" s="174" t="s">
        <v>2395</v>
      </c>
      <c r="AE273" s="242">
        <v>15.7753</v>
      </c>
      <c r="AF273" s="175">
        <v>0.64392000000000005</v>
      </c>
      <c r="AG273" s="174">
        <v>3.1748099999999999</v>
      </c>
      <c r="AH273" s="175">
        <v>257.81945000000002</v>
      </c>
      <c r="AI273" s="174" t="s">
        <v>657</v>
      </c>
      <c r="AJ273" s="174" t="s">
        <v>767</v>
      </c>
      <c r="AK273" s="174" t="str">
        <f t="shared" si="49"/>
        <v>PAR.</v>
      </c>
    </row>
    <row r="274" spans="26:37" ht="14.4" x14ac:dyDescent="0.3">
      <c r="Z274" s="173" t="s">
        <v>574</v>
      </c>
      <c r="AA274" s="175" t="s">
        <v>918</v>
      </c>
      <c r="AB274" s="174" t="s">
        <v>919</v>
      </c>
      <c r="AC274" s="174" t="s">
        <v>1423</v>
      </c>
      <c r="AD274" s="174" t="s">
        <v>2396</v>
      </c>
      <c r="AE274" s="242">
        <v>48.395769999999999</v>
      </c>
      <c r="AF274" s="175">
        <v>1.9754100000000001</v>
      </c>
      <c r="AG274" s="174">
        <v>9.7397399999999994</v>
      </c>
      <c r="AH274" s="175">
        <v>790.94340999999997</v>
      </c>
      <c r="AI274" s="174" t="s">
        <v>1727</v>
      </c>
      <c r="AJ274" s="174" t="s">
        <v>767</v>
      </c>
      <c r="AK274" s="174" t="str">
        <f t="shared" si="49"/>
        <v>MB</v>
      </c>
    </row>
    <row r="275" spans="26:37" ht="14.4" x14ac:dyDescent="0.3">
      <c r="Z275" s="173" t="s">
        <v>572</v>
      </c>
      <c r="AA275" s="175" t="s">
        <v>891</v>
      </c>
      <c r="AB275" s="174" t="s">
        <v>892</v>
      </c>
      <c r="AC275" s="174" t="s">
        <v>1414</v>
      </c>
      <c r="AD275" s="174" t="s">
        <v>2397</v>
      </c>
      <c r="AE275" s="242">
        <v>48.397410000000001</v>
      </c>
      <c r="AF275" s="175">
        <v>1.9754700000000001</v>
      </c>
      <c r="AG275" s="174">
        <v>9.7400800000000007</v>
      </c>
      <c r="AH275" s="175">
        <v>790.97032000000002</v>
      </c>
      <c r="AI275" s="174" t="s">
        <v>1727</v>
      </c>
      <c r="AJ275" s="174" t="s">
        <v>767</v>
      </c>
      <c r="AK275" s="174" t="str">
        <f t="shared" si="49"/>
        <v>MB</v>
      </c>
    </row>
    <row r="276" spans="26:37" ht="14.4" x14ac:dyDescent="0.3">
      <c r="Z276" s="173" t="s">
        <v>583</v>
      </c>
      <c r="AA276" s="175" t="s">
        <v>805</v>
      </c>
      <c r="AB276" s="174" t="s">
        <v>2398</v>
      </c>
      <c r="AC276" s="174" t="s">
        <v>1382</v>
      </c>
      <c r="AD276" s="174" t="s">
        <v>2399</v>
      </c>
      <c r="AE276" s="242">
        <v>48.395769999999999</v>
      </c>
      <c r="AF276" s="175">
        <v>1.9754100000000001</v>
      </c>
      <c r="AG276" s="174">
        <v>9.7397399999999994</v>
      </c>
      <c r="AH276" s="175">
        <v>790.94340999999997</v>
      </c>
      <c r="AI276" s="174" t="s">
        <v>1727</v>
      </c>
      <c r="AJ276" s="174" t="s">
        <v>767</v>
      </c>
      <c r="AK276" s="174" t="str">
        <f t="shared" si="49"/>
        <v>MB</v>
      </c>
    </row>
    <row r="277" spans="26:37" ht="14.4" x14ac:dyDescent="0.3">
      <c r="Z277" s="173" t="s">
        <v>577</v>
      </c>
      <c r="AA277" s="175" t="s">
        <v>2400</v>
      </c>
      <c r="AB277" s="174" t="s">
        <v>876</v>
      </c>
      <c r="AC277" s="174" t="s">
        <v>1408</v>
      </c>
      <c r="AD277" s="174" t="s">
        <v>2401</v>
      </c>
      <c r="AE277" s="242">
        <v>48.395769999999999</v>
      </c>
      <c r="AF277" s="175">
        <v>1.9754100000000001</v>
      </c>
      <c r="AG277" s="174">
        <v>9.7397399999999994</v>
      </c>
      <c r="AH277" s="175">
        <v>790.94340999999997</v>
      </c>
      <c r="AI277" s="174" t="s">
        <v>1727</v>
      </c>
      <c r="AJ277" s="174" t="s">
        <v>767</v>
      </c>
      <c r="AK277" s="174" t="str">
        <f t="shared" si="49"/>
        <v>MB</v>
      </c>
    </row>
    <row r="278" spans="26:37" ht="14.4" x14ac:dyDescent="0.3">
      <c r="Z278" s="173" t="s">
        <v>1155</v>
      </c>
      <c r="AA278" s="175" t="s">
        <v>2402</v>
      </c>
      <c r="AB278" s="174" t="s">
        <v>2403</v>
      </c>
      <c r="AC278" s="174" t="s">
        <v>1510</v>
      </c>
      <c r="AD278" s="174" t="s">
        <v>2404</v>
      </c>
      <c r="AE278" s="242">
        <v>102.45442</v>
      </c>
      <c r="AF278" s="175">
        <v>4.1819600000000001</v>
      </c>
      <c r="AG278" s="174">
        <v>20.619140000000002</v>
      </c>
      <c r="AH278" s="175">
        <v>1674.4366399999999</v>
      </c>
      <c r="AI278" s="174" t="s">
        <v>1727</v>
      </c>
      <c r="AJ278" s="174" t="s">
        <v>767</v>
      </c>
      <c r="AK278" s="174" t="str">
        <f t="shared" si="49"/>
        <v>MB</v>
      </c>
    </row>
    <row r="279" spans="26:37" ht="14.4" x14ac:dyDescent="0.3">
      <c r="Z279" s="173" t="s">
        <v>1158</v>
      </c>
      <c r="AA279" s="175" t="s">
        <v>2405</v>
      </c>
      <c r="AB279" s="174" t="s">
        <v>2406</v>
      </c>
      <c r="AC279" s="174" t="s">
        <v>1511</v>
      </c>
      <c r="AD279" s="174" t="s">
        <v>2407</v>
      </c>
      <c r="AE279" s="242">
        <v>102.45442</v>
      </c>
      <c r="AF279" s="175">
        <v>4.1819600000000001</v>
      </c>
      <c r="AG279" s="174">
        <v>20.619140000000002</v>
      </c>
      <c r="AH279" s="175">
        <v>1674.4366399999999</v>
      </c>
      <c r="AI279" s="174" t="s">
        <v>1727</v>
      </c>
      <c r="AJ279" s="174" t="s">
        <v>767</v>
      </c>
      <c r="AK279" s="174" t="str">
        <f t="shared" si="49"/>
        <v>MB</v>
      </c>
    </row>
    <row r="280" spans="26:37" ht="14.4" x14ac:dyDescent="0.3">
      <c r="Z280" s="173" t="s">
        <v>659</v>
      </c>
      <c r="AA280" s="175" t="s">
        <v>660</v>
      </c>
      <c r="AB280" s="174" t="s">
        <v>661</v>
      </c>
      <c r="AC280" s="174" t="s">
        <v>1346</v>
      </c>
      <c r="AD280" s="174" t="s">
        <v>2408</v>
      </c>
      <c r="AE280" s="242" t="e">
        <v>#N/A</v>
      </c>
      <c r="AF280" s="175" t="e">
        <v>#N/A</v>
      </c>
      <c r="AG280" s="174" t="e">
        <v>#N/A</v>
      </c>
      <c r="AH280" s="175" t="e">
        <v>#N/A</v>
      </c>
      <c r="AI280" s="174" t="s">
        <v>1727</v>
      </c>
      <c r="AJ280" s="174" t="s">
        <v>630</v>
      </c>
      <c r="AK280" s="174" t="str">
        <f t="shared" si="49"/>
        <v>MB</v>
      </c>
    </row>
    <row r="281" spans="26:37" ht="14.4" x14ac:dyDescent="0.3">
      <c r="Z281" s="173" t="s">
        <v>663</v>
      </c>
      <c r="AA281" s="175" t="s">
        <v>664</v>
      </c>
      <c r="AB281" s="174" t="s">
        <v>2409</v>
      </c>
      <c r="AC281" s="174" t="s">
        <v>1347</v>
      </c>
      <c r="AD281" s="174" t="s">
        <v>2410</v>
      </c>
      <c r="AE281" s="242">
        <v>61.587389999999999</v>
      </c>
      <c r="AF281" s="175">
        <v>2.5138699999999998</v>
      </c>
      <c r="AG281" s="174">
        <v>12.394579999999999</v>
      </c>
      <c r="AH281" s="175">
        <v>1006.53773</v>
      </c>
      <c r="AI281" s="174" t="s">
        <v>1727</v>
      </c>
      <c r="AJ281" s="337" t="s">
        <v>767</v>
      </c>
      <c r="AK281" s="174" t="str">
        <f t="shared" si="49"/>
        <v>MB</v>
      </c>
    </row>
    <row r="282" spans="26:37" ht="14.4" x14ac:dyDescent="0.3">
      <c r="Z282" s="173" t="s">
        <v>559</v>
      </c>
      <c r="AA282" s="175" t="s">
        <v>2411</v>
      </c>
      <c r="AB282" s="174" t="s">
        <v>667</v>
      </c>
      <c r="AC282" s="174" t="s">
        <v>1348</v>
      </c>
      <c r="AD282" s="174" t="s">
        <v>2412</v>
      </c>
      <c r="AE282" s="242">
        <v>12.600339999999999</v>
      </c>
      <c r="AF282" s="175">
        <v>0.51432</v>
      </c>
      <c r="AG282" s="174">
        <v>2.5358299999999998</v>
      </c>
      <c r="AH282" s="175">
        <v>199.93222</v>
      </c>
      <c r="AI282" s="174" t="s">
        <v>643</v>
      </c>
      <c r="AJ282" s="174" t="s">
        <v>630</v>
      </c>
      <c r="AK282" s="174" t="str">
        <f t="shared" si="49"/>
        <v>SZT.</v>
      </c>
    </row>
    <row r="283" spans="26:37" ht="14.4" x14ac:dyDescent="0.3">
      <c r="Z283" s="173" t="s">
        <v>558</v>
      </c>
      <c r="AA283" s="175" t="s">
        <v>2413</v>
      </c>
      <c r="AB283" s="174" t="s">
        <v>669</v>
      </c>
      <c r="AC283" s="174" t="s">
        <v>1349</v>
      </c>
      <c r="AD283" s="174" t="s">
        <v>2414</v>
      </c>
      <c r="AE283" s="242">
        <v>12.600339999999999</v>
      </c>
      <c r="AF283" s="175">
        <v>0.51432</v>
      </c>
      <c r="AG283" s="174">
        <v>2.5358299999999998</v>
      </c>
      <c r="AH283" s="175">
        <v>199.93222</v>
      </c>
      <c r="AI283" s="174" t="s">
        <v>643</v>
      </c>
      <c r="AJ283" s="174" t="s">
        <v>630</v>
      </c>
      <c r="AK283" s="174" t="str">
        <f t="shared" si="49"/>
        <v>SZT.</v>
      </c>
    </row>
    <row r="284" spans="26:37" ht="14.4" x14ac:dyDescent="0.3">
      <c r="Z284" s="173" t="s">
        <v>561</v>
      </c>
      <c r="AA284" s="175" t="s">
        <v>2415</v>
      </c>
      <c r="AB284" s="174" t="s">
        <v>2416</v>
      </c>
      <c r="AC284" s="174" t="s">
        <v>1350</v>
      </c>
      <c r="AD284" s="174" t="s">
        <v>2417</v>
      </c>
      <c r="AE284" s="242">
        <v>12.600339999999999</v>
      </c>
      <c r="AF284" s="175">
        <v>0.51432</v>
      </c>
      <c r="AG284" s="174">
        <v>2.5358299999999998</v>
      </c>
      <c r="AH284" s="175">
        <v>199.93222</v>
      </c>
      <c r="AI284" s="174" t="s">
        <v>643</v>
      </c>
      <c r="AJ284" s="174" t="s">
        <v>630</v>
      </c>
      <c r="AK284" s="174" t="str">
        <f t="shared" si="49"/>
        <v>SZT.</v>
      </c>
    </row>
    <row r="285" spans="26:37" ht="14.4" x14ac:dyDescent="0.3">
      <c r="Z285" s="173" t="s">
        <v>560</v>
      </c>
      <c r="AA285" s="175" t="s">
        <v>2418</v>
      </c>
      <c r="AB285" s="174" t="s">
        <v>673</v>
      </c>
      <c r="AC285" s="174" t="s">
        <v>1351</v>
      </c>
      <c r="AD285" s="174" t="s">
        <v>2419</v>
      </c>
      <c r="AE285" s="242">
        <v>12.600339999999999</v>
      </c>
      <c r="AF285" s="175">
        <v>0.51432</v>
      </c>
      <c r="AG285" s="174">
        <v>2.5358299999999998</v>
      </c>
      <c r="AH285" s="175">
        <v>199.93222</v>
      </c>
      <c r="AI285" s="174" t="s">
        <v>643</v>
      </c>
      <c r="AJ285" s="174" t="s">
        <v>630</v>
      </c>
      <c r="AK285" s="174" t="str">
        <f t="shared" si="49"/>
        <v>SZT.</v>
      </c>
    </row>
    <row r="286" spans="26:37" ht="14.4" x14ac:dyDescent="0.3">
      <c r="Z286" s="173" t="s">
        <v>674</v>
      </c>
      <c r="AA286" s="175" t="s">
        <v>2420</v>
      </c>
      <c r="AB286" s="174" t="s">
        <v>676</v>
      </c>
      <c r="AC286" s="174" t="s">
        <v>1352</v>
      </c>
      <c r="AD286" s="174" t="s">
        <v>2421</v>
      </c>
      <c r="AE286" s="242">
        <v>12.600339999999999</v>
      </c>
      <c r="AF286" s="175">
        <v>0.51432</v>
      </c>
      <c r="AG286" s="174">
        <v>2.5358299999999998</v>
      </c>
      <c r="AH286" s="175">
        <v>199.93222</v>
      </c>
      <c r="AI286" s="174" t="s">
        <v>643</v>
      </c>
      <c r="AJ286" s="174" t="s">
        <v>630</v>
      </c>
      <c r="AK286" s="174" t="str">
        <f t="shared" si="49"/>
        <v>SZT.</v>
      </c>
    </row>
    <row r="287" spans="26:37" ht="14.4" x14ac:dyDescent="0.3">
      <c r="Z287" s="173" t="s">
        <v>677</v>
      </c>
      <c r="AA287" s="175" t="s">
        <v>2422</v>
      </c>
      <c r="AB287" s="174" t="s">
        <v>2423</v>
      </c>
      <c r="AC287" s="174" t="s">
        <v>1353</v>
      </c>
      <c r="AD287" s="174" t="s">
        <v>2424</v>
      </c>
      <c r="AE287" s="242">
        <v>12.600339999999999</v>
      </c>
      <c r="AF287" s="175">
        <v>0.51432</v>
      </c>
      <c r="AG287" s="174">
        <v>2.5358299999999998</v>
      </c>
      <c r="AH287" s="175">
        <v>199.93222</v>
      </c>
      <c r="AI287" s="174" t="s">
        <v>643</v>
      </c>
      <c r="AJ287" s="174" t="s">
        <v>630</v>
      </c>
      <c r="AK287" s="174" t="str">
        <f t="shared" si="49"/>
        <v>SZT.</v>
      </c>
    </row>
    <row r="288" spans="26:37" ht="14.4" x14ac:dyDescent="0.3">
      <c r="Z288" s="173" t="s">
        <v>608</v>
      </c>
      <c r="AA288" s="175" t="s">
        <v>2425</v>
      </c>
      <c r="AB288" s="174" t="s">
        <v>2426</v>
      </c>
      <c r="AC288" s="174" t="s">
        <v>1436</v>
      </c>
      <c r="AD288" s="174" t="s">
        <v>2427</v>
      </c>
      <c r="AE288" s="242">
        <v>25.99616</v>
      </c>
      <c r="AF288" s="175">
        <v>1.0610999999999999</v>
      </c>
      <c r="AG288" s="174">
        <v>5.2317799999999997</v>
      </c>
      <c r="AH288" s="175">
        <v>424.86153999999999</v>
      </c>
      <c r="AI288" s="174" t="s">
        <v>643</v>
      </c>
      <c r="AJ288" s="174" t="s">
        <v>767</v>
      </c>
      <c r="AK288" s="174" t="str">
        <f t="shared" si="49"/>
        <v>SZT.</v>
      </c>
    </row>
    <row r="289" spans="26:37" ht="14.4" x14ac:dyDescent="0.3">
      <c r="Z289" s="173" t="s">
        <v>538</v>
      </c>
      <c r="AA289" s="175" t="s">
        <v>2428</v>
      </c>
      <c r="AB289" s="174" t="s">
        <v>2429</v>
      </c>
      <c r="AC289" s="174" t="s">
        <v>1415</v>
      </c>
      <c r="AD289" s="174" t="s">
        <v>2430</v>
      </c>
      <c r="AE289" s="242">
        <v>25.99616</v>
      </c>
      <c r="AF289" s="175">
        <v>1.0610999999999999</v>
      </c>
      <c r="AG289" s="174">
        <v>5.2317799999999997</v>
      </c>
      <c r="AH289" s="175">
        <v>424.86153999999999</v>
      </c>
      <c r="AI289" s="174" t="s">
        <v>643</v>
      </c>
      <c r="AJ289" s="174" t="s">
        <v>767</v>
      </c>
      <c r="AK289" s="174" t="str">
        <f t="shared" si="49"/>
        <v>SZT.</v>
      </c>
    </row>
    <row r="290" spans="26:37" ht="14.4" x14ac:dyDescent="0.3">
      <c r="Z290" s="173" t="s">
        <v>547</v>
      </c>
      <c r="AA290" s="175" t="s">
        <v>2431</v>
      </c>
      <c r="AB290" s="174" t="s">
        <v>2432</v>
      </c>
      <c r="AC290" s="174" t="s">
        <v>1383</v>
      </c>
      <c r="AD290" s="174" t="s">
        <v>2433</v>
      </c>
      <c r="AE290" s="242">
        <v>25.99616</v>
      </c>
      <c r="AF290" s="175">
        <v>1.0610999999999999</v>
      </c>
      <c r="AG290" s="174">
        <v>5.2317799999999997</v>
      </c>
      <c r="AH290" s="175">
        <v>424.86153999999999</v>
      </c>
      <c r="AI290" s="174" t="s">
        <v>643</v>
      </c>
      <c r="AJ290" s="174" t="s">
        <v>767</v>
      </c>
      <c r="AK290" s="174" t="str">
        <f t="shared" si="49"/>
        <v>SZT.</v>
      </c>
    </row>
    <row r="291" spans="26:37" ht="14.4" x14ac:dyDescent="0.3">
      <c r="Z291" s="173" t="s">
        <v>540</v>
      </c>
      <c r="AA291" s="175" t="s">
        <v>2434</v>
      </c>
      <c r="AB291" s="174" t="s">
        <v>879</v>
      </c>
      <c r="AC291" s="174" t="s">
        <v>1409</v>
      </c>
      <c r="AD291" s="174" t="s">
        <v>2435</v>
      </c>
      <c r="AE291" s="242">
        <v>25.99616</v>
      </c>
      <c r="AF291" s="175">
        <v>1.0610999999999999</v>
      </c>
      <c r="AG291" s="174">
        <v>5.2317799999999997</v>
      </c>
      <c r="AH291" s="175">
        <v>424.86153999999999</v>
      </c>
      <c r="AI291" s="174" t="s">
        <v>643</v>
      </c>
      <c r="AJ291" s="174" t="s">
        <v>767</v>
      </c>
      <c r="AK291" s="174" t="str">
        <f t="shared" si="49"/>
        <v>SZT.</v>
      </c>
    </row>
    <row r="292" spans="26:37" ht="14.4" x14ac:dyDescent="0.3">
      <c r="Z292" s="173" t="s">
        <v>680</v>
      </c>
      <c r="AA292" s="175" t="s">
        <v>2436</v>
      </c>
      <c r="AB292" s="174" t="s">
        <v>2437</v>
      </c>
      <c r="AC292" s="174" t="s">
        <v>1354</v>
      </c>
      <c r="AD292" s="174" t="s">
        <v>2438</v>
      </c>
      <c r="AE292" s="242">
        <v>25.99616</v>
      </c>
      <c r="AF292" s="175">
        <v>1.0610999999999999</v>
      </c>
      <c r="AG292" s="174">
        <v>5.2317799999999997</v>
      </c>
      <c r="AH292" s="175">
        <v>412.48692999999997</v>
      </c>
      <c r="AI292" s="174" t="s">
        <v>643</v>
      </c>
      <c r="AJ292" s="174" t="s">
        <v>630</v>
      </c>
      <c r="AK292" s="174" t="str">
        <f t="shared" si="49"/>
        <v>SZT.</v>
      </c>
    </row>
    <row r="293" spans="26:37" ht="14.4" x14ac:dyDescent="0.3">
      <c r="Z293" s="173" t="s">
        <v>684</v>
      </c>
      <c r="AA293" s="175" t="s">
        <v>2439</v>
      </c>
      <c r="AB293" s="174" t="s">
        <v>2440</v>
      </c>
      <c r="AC293" s="174" t="s">
        <v>1355</v>
      </c>
      <c r="AD293" s="174" t="s">
        <v>2441</v>
      </c>
      <c r="AE293" s="242">
        <v>25.99616</v>
      </c>
      <c r="AF293" s="175">
        <v>1.0610999999999999</v>
      </c>
      <c r="AG293" s="174">
        <v>5.2317799999999997</v>
      </c>
      <c r="AH293" s="175">
        <v>424.86153999999999</v>
      </c>
      <c r="AI293" s="174" t="s">
        <v>643</v>
      </c>
      <c r="AJ293" s="337" t="s">
        <v>767</v>
      </c>
      <c r="AK293" s="174" t="str">
        <f t="shared" si="49"/>
        <v>SZT.</v>
      </c>
    </row>
    <row r="294" spans="26:37" ht="14.4" x14ac:dyDescent="0.3">
      <c r="Z294" s="307" t="s">
        <v>588</v>
      </c>
      <c r="AA294" s="175" t="s">
        <v>2442</v>
      </c>
      <c r="AB294" s="174" t="s">
        <v>1098</v>
      </c>
      <c r="AC294" s="174" t="s">
        <v>1483</v>
      </c>
      <c r="AD294" s="174" t="s">
        <v>2443</v>
      </c>
      <c r="AE294" s="242">
        <v>152.06783999999999</v>
      </c>
      <c r="AF294" s="175">
        <v>6.20709</v>
      </c>
      <c r="AG294" s="174">
        <v>30.603929999999998</v>
      </c>
      <c r="AH294" s="175">
        <v>2485.2811799999999</v>
      </c>
      <c r="AI294" s="174" t="s">
        <v>657</v>
      </c>
      <c r="AJ294" s="174" t="s">
        <v>767</v>
      </c>
      <c r="AK294" s="174" t="str">
        <f t="shared" si="49"/>
        <v>PAR.</v>
      </c>
    </row>
    <row r="295" spans="26:37" ht="14.4" x14ac:dyDescent="0.3">
      <c r="Z295" s="173" t="s">
        <v>586</v>
      </c>
      <c r="AA295" s="175" t="s">
        <v>2444</v>
      </c>
      <c r="AB295" s="174" t="s">
        <v>1101</v>
      </c>
      <c r="AC295" s="174" t="s">
        <v>1484</v>
      </c>
      <c r="AD295" s="174" t="s">
        <v>2445</v>
      </c>
      <c r="AE295" s="242">
        <v>203.32050000000001</v>
      </c>
      <c r="AF295" s="175">
        <v>8.2991100000000007</v>
      </c>
      <c r="AG295" s="174">
        <v>40.918610000000001</v>
      </c>
      <c r="AH295" s="175">
        <v>3322.91516</v>
      </c>
      <c r="AI295" s="174" t="s">
        <v>657</v>
      </c>
      <c r="AJ295" s="174" t="s">
        <v>767</v>
      </c>
      <c r="AK295" s="174" t="str">
        <f t="shared" si="49"/>
        <v>PAR.</v>
      </c>
    </row>
    <row r="296" spans="26:37" ht="14.4" x14ac:dyDescent="0.3">
      <c r="Z296" s="173" t="s">
        <v>587</v>
      </c>
      <c r="AA296" s="175" t="s">
        <v>2446</v>
      </c>
      <c r="AB296" s="174" t="s">
        <v>1105</v>
      </c>
      <c r="AC296" s="174" t="s">
        <v>1488</v>
      </c>
      <c r="AD296" s="174" t="s">
        <v>2447</v>
      </c>
      <c r="AE296" s="242">
        <v>203.32050000000001</v>
      </c>
      <c r="AF296" s="175">
        <v>8.2991100000000007</v>
      </c>
      <c r="AG296" s="174">
        <v>40.918610000000001</v>
      </c>
      <c r="AH296" s="175">
        <v>3322.91516</v>
      </c>
      <c r="AI296" s="174" t="s">
        <v>657</v>
      </c>
      <c r="AJ296" s="174" t="s">
        <v>767</v>
      </c>
      <c r="AK296" s="174" t="str">
        <f t="shared" si="49"/>
        <v>PAR.</v>
      </c>
    </row>
    <row r="297" spans="26:37" ht="14.4" x14ac:dyDescent="0.3">
      <c r="Z297" s="173" t="s">
        <v>589</v>
      </c>
      <c r="AA297" s="175" t="s">
        <v>2448</v>
      </c>
      <c r="AB297" s="174" t="s">
        <v>2449</v>
      </c>
      <c r="AC297" s="174" t="s">
        <v>1447</v>
      </c>
      <c r="AD297" s="174" t="s">
        <v>2450</v>
      </c>
      <c r="AE297" s="242">
        <v>252.14331999999999</v>
      </c>
      <c r="AF297" s="175">
        <v>10.29196</v>
      </c>
      <c r="AG297" s="174">
        <v>50.744320000000002</v>
      </c>
      <c r="AH297" s="175">
        <v>4120.8385600000001</v>
      </c>
      <c r="AI297" s="174" t="s">
        <v>657</v>
      </c>
      <c r="AJ297" s="174" t="s">
        <v>630</v>
      </c>
      <c r="AK297" s="174" t="str">
        <f t="shared" si="49"/>
        <v>PAR.</v>
      </c>
    </row>
    <row r="298" spans="26:37" ht="14.4" x14ac:dyDescent="0.3">
      <c r="Z298" s="173" t="s">
        <v>687</v>
      </c>
      <c r="AA298" s="175" t="s">
        <v>2451</v>
      </c>
      <c r="AB298" s="174" t="s">
        <v>2452</v>
      </c>
      <c r="AC298" s="174" t="s">
        <v>1356</v>
      </c>
      <c r="AD298" s="174" t="s">
        <v>2453</v>
      </c>
      <c r="AE298" s="242">
        <v>152.87047999999999</v>
      </c>
      <c r="AF298" s="175">
        <v>6.2398499999999997</v>
      </c>
      <c r="AG298" s="174">
        <v>30.765460000000001</v>
      </c>
      <c r="AH298" s="175">
        <v>2425.6299300000001</v>
      </c>
      <c r="AI298" s="174" t="s">
        <v>657</v>
      </c>
      <c r="AJ298" s="174" t="s">
        <v>630</v>
      </c>
      <c r="AK298" s="174" t="str">
        <f t="shared" si="49"/>
        <v>PAR.</v>
      </c>
    </row>
    <row r="299" spans="26:37" ht="14.4" x14ac:dyDescent="0.3">
      <c r="Z299" s="173" t="s">
        <v>691</v>
      </c>
      <c r="AA299" s="175" t="s">
        <v>2454</v>
      </c>
      <c r="AB299" s="174" t="s">
        <v>2455</v>
      </c>
      <c r="AC299" s="174" t="s">
        <v>1357</v>
      </c>
      <c r="AD299" s="174" t="s">
        <v>2456</v>
      </c>
      <c r="AE299" s="242">
        <v>194.60856999999999</v>
      </c>
      <c r="AF299" s="175">
        <v>7.9435099999999998</v>
      </c>
      <c r="AG299" s="174">
        <v>39.165320000000001</v>
      </c>
      <c r="AH299" s="175">
        <v>3087.89732</v>
      </c>
      <c r="AI299" s="174" t="s">
        <v>657</v>
      </c>
      <c r="AJ299" s="174" t="s">
        <v>630</v>
      </c>
      <c r="AK299" s="174" t="str">
        <f t="shared" si="49"/>
        <v>PAR.</v>
      </c>
    </row>
    <row r="300" spans="26:37" ht="14.4" x14ac:dyDescent="0.3">
      <c r="Z300" s="173" t="s">
        <v>585</v>
      </c>
      <c r="AA300" s="175" t="s">
        <v>2457</v>
      </c>
      <c r="AB300" s="174" t="s">
        <v>1065</v>
      </c>
      <c r="AC300" s="174" t="s">
        <v>1470</v>
      </c>
      <c r="AD300" s="174" t="s">
        <v>2458</v>
      </c>
      <c r="AE300" s="242">
        <v>326.22266000000002</v>
      </c>
      <c r="AF300" s="175">
        <v>13.315720000000001</v>
      </c>
      <c r="AG300" s="174">
        <v>65.652900000000002</v>
      </c>
      <c r="AH300" s="175">
        <v>5331.5343800000001</v>
      </c>
      <c r="AI300" s="174" t="s">
        <v>1727</v>
      </c>
      <c r="AJ300" s="174" t="s">
        <v>767</v>
      </c>
      <c r="AK300" s="174" t="str">
        <f t="shared" si="49"/>
        <v>MB</v>
      </c>
    </row>
    <row r="301" spans="26:37" ht="14.4" x14ac:dyDescent="0.3">
      <c r="Z301" s="173" t="s">
        <v>501</v>
      </c>
      <c r="AA301" s="175" t="s">
        <v>2459</v>
      </c>
      <c r="AB301" s="174" t="s">
        <v>1046</v>
      </c>
      <c r="AC301" s="174" t="s">
        <v>1461</v>
      </c>
      <c r="AD301" s="174" t="s">
        <v>1751</v>
      </c>
      <c r="AE301" s="242">
        <v>92.396720000000002</v>
      </c>
      <c r="AF301" s="175">
        <v>3.7714400000000001</v>
      </c>
      <c r="AG301" s="174">
        <v>18.595009999999998</v>
      </c>
      <c r="AH301" s="175">
        <v>1510.06134</v>
      </c>
      <c r="AI301" s="174" t="s">
        <v>1727</v>
      </c>
      <c r="AJ301" s="174" t="s">
        <v>767</v>
      </c>
      <c r="AK301" s="174" t="str">
        <f t="shared" si="49"/>
        <v>MB</v>
      </c>
    </row>
    <row r="302" spans="26:37" ht="14.4" x14ac:dyDescent="0.3">
      <c r="Z302" s="173" t="s">
        <v>498</v>
      </c>
      <c r="AA302" s="175" t="s">
        <v>2460</v>
      </c>
      <c r="AB302" s="174" t="s">
        <v>1048</v>
      </c>
      <c r="AC302" s="174" t="s">
        <v>1462</v>
      </c>
      <c r="AD302" s="174" t="s">
        <v>2461</v>
      </c>
      <c r="AE302" s="242">
        <v>92.396720000000002</v>
      </c>
      <c r="AF302" s="175">
        <v>3.7714400000000001</v>
      </c>
      <c r="AG302" s="174">
        <v>18.595009999999998</v>
      </c>
      <c r="AH302" s="175">
        <v>1510.06134</v>
      </c>
      <c r="AI302" s="174" t="s">
        <v>1727</v>
      </c>
      <c r="AJ302" s="174" t="s">
        <v>767</v>
      </c>
      <c r="AK302" s="174" t="str">
        <f t="shared" si="49"/>
        <v>MB</v>
      </c>
    </row>
    <row r="303" spans="26:37" ht="14.4" x14ac:dyDescent="0.3">
      <c r="Z303" s="173" t="s">
        <v>505</v>
      </c>
      <c r="AA303" s="175" t="s">
        <v>2462</v>
      </c>
      <c r="AB303" s="174" t="s">
        <v>2463</v>
      </c>
      <c r="AC303" s="174" t="s">
        <v>1463</v>
      </c>
      <c r="AD303" s="174" t="s">
        <v>2464</v>
      </c>
      <c r="AE303" s="242">
        <v>92.396720000000002</v>
      </c>
      <c r="AF303" s="175">
        <v>3.7714400000000001</v>
      </c>
      <c r="AG303" s="174">
        <v>18.595009999999998</v>
      </c>
      <c r="AH303" s="175">
        <v>1510.06134</v>
      </c>
      <c r="AI303" s="174" t="s">
        <v>1727</v>
      </c>
      <c r="AJ303" s="174" t="s">
        <v>767</v>
      </c>
      <c r="AK303" s="174" t="str">
        <f t="shared" si="49"/>
        <v>MB</v>
      </c>
    </row>
    <row r="304" spans="26:37" ht="14.4" x14ac:dyDescent="0.3">
      <c r="Z304" s="173" t="s">
        <v>503</v>
      </c>
      <c r="AA304" s="175" t="s">
        <v>2465</v>
      </c>
      <c r="AB304" s="174" t="s">
        <v>2465</v>
      </c>
      <c r="AC304" s="174" t="s">
        <v>1464</v>
      </c>
      <c r="AD304" s="174" t="s">
        <v>2466</v>
      </c>
      <c r="AE304" s="242">
        <v>120.87801</v>
      </c>
      <c r="AF304" s="175">
        <v>4.93398</v>
      </c>
      <c r="AG304" s="174">
        <v>24.326920000000001</v>
      </c>
      <c r="AH304" s="175">
        <v>1975.53809</v>
      </c>
      <c r="AI304" s="174" t="s">
        <v>1727</v>
      </c>
      <c r="AJ304" s="174" t="s">
        <v>767</v>
      </c>
      <c r="AK304" s="174" t="str">
        <f t="shared" si="49"/>
        <v>MB</v>
      </c>
    </row>
    <row r="305" spans="26:37" ht="14.4" x14ac:dyDescent="0.3">
      <c r="Z305" s="173" t="s">
        <v>500</v>
      </c>
      <c r="AA305" s="175" t="s">
        <v>1053</v>
      </c>
      <c r="AB305" s="174" t="s">
        <v>1053</v>
      </c>
      <c r="AC305" s="174" t="s">
        <v>1465</v>
      </c>
      <c r="AD305" s="174" t="s">
        <v>2467</v>
      </c>
      <c r="AE305" s="242">
        <v>120.87801</v>
      </c>
      <c r="AF305" s="175">
        <v>4.93398</v>
      </c>
      <c r="AG305" s="174">
        <v>24.326920000000001</v>
      </c>
      <c r="AH305" s="175">
        <v>1975.53809</v>
      </c>
      <c r="AI305" s="174" t="s">
        <v>1727</v>
      </c>
      <c r="AJ305" s="174" t="s">
        <v>767</v>
      </c>
      <c r="AK305" s="174" t="str">
        <f t="shared" si="49"/>
        <v>MB</v>
      </c>
    </row>
    <row r="306" spans="26:37" ht="14.4" x14ac:dyDescent="0.3">
      <c r="Z306" s="173" t="s">
        <v>504</v>
      </c>
      <c r="AA306" s="175" t="s">
        <v>1057</v>
      </c>
      <c r="AB306" s="174" t="s">
        <v>1057</v>
      </c>
      <c r="AC306" s="174" t="s">
        <v>1467</v>
      </c>
      <c r="AD306" s="174" t="s">
        <v>2468</v>
      </c>
      <c r="AE306" s="242">
        <v>120.87801</v>
      </c>
      <c r="AF306" s="175">
        <v>4.93398</v>
      </c>
      <c r="AG306" s="174">
        <v>24.326920000000001</v>
      </c>
      <c r="AH306" s="175">
        <v>1975.53809</v>
      </c>
      <c r="AI306" s="174" t="s">
        <v>1727</v>
      </c>
      <c r="AJ306" s="174" t="s">
        <v>767</v>
      </c>
      <c r="AK306" s="174" t="str">
        <f t="shared" si="49"/>
        <v>MB</v>
      </c>
    </row>
    <row r="307" spans="26:37" ht="14.4" x14ac:dyDescent="0.3">
      <c r="Z307" s="173" t="s">
        <v>506</v>
      </c>
      <c r="AA307" s="175" t="s">
        <v>1055</v>
      </c>
      <c r="AB307" s="174" t="s">
        <v>1056</v>
      </c>
      <c r="AC307" s="174" t="s">
        <v>1466</v>
      </c>
      <c r="AD307" s="174" t="s">
        <v>2469</v>
      </c>
      <c r="AE307" s="242">
        <v>120.87801</v>
      </c>
      <c r="AF307" s="175">
        <v>4.93398</v>
      </c>
      <c r="AG307" s="174">
        <v>24.326920000000001</v>
      </c>
      <c r="AH307" s="175">
        <v>1975.53809</v>
      </c>
      <c r="AI307" s="174" t="s">
        <v>1727</v>
      </c>
      <c r="AJ307" s="174" t="s">
        <v>767</v>
      </c>
      <c r="AK307" s="174" t="str">
        <f t="shared" si="49"/>
        <v>MB</v>
      </c>
    </row>
    <row r="308" spans="26:37" ht="14.4" x14ac:dyDescent="0.3">
      <c r="Z308" s="173" t="s">
        <v>499</v>
      </c>
      <c r="AA308" s="175" t="s">
        <v>1059</v>
      </c>
      <c r="AB308" s="174" t="s">
        <v>1060</v>
      </c>
      <c r="AC308" s="174" t="s">
        <v>1468</v>
      </c>
      <c r="AD308" s="174" t="s">
        <v>2470</v>
      </c>
      <c r="AE308" s="242">
        <v>120.87801</v>
      </c>
      <c r="AF308" s="175">
        <v>4.93398</v>
      </c>
      <c r="AG308" s="174">
        <v>24.326920000000001</v>
      </c>
      <c r="AH308" s="175">
        <v>1975.53809</v>
      </c>
      <c r="AI308" s="174" t="s">
        <v>1727</v>
      </c>
      <c r="AJ308" s="174" t="s">
        <v>767</v>
      </c>
      <c r="AK308" s="174" t="str">
        <f t="shared" si="49"/>
        <v>MB</v>
      </c>
    </row>
    <row r="309" spans="26:37" ht="14.4" x14ac:dyDescent="0.3">
      <c r="Z309" s="173" t="s">
        <v>611</v>
      </c>
      <c r="AA309" s="175" t="s">
        <v>2471</v>
      </c>
      <c r="AB309" s="174" t="s">
        <v>717</v>
      </c>
      <c r="AC309" s="174" t="s">
        <v>1365</v>
      </c>
      <c r="AD309" s="174" t="s">
        <v>2472</v>
      </c>
      <c r="AE309" s="242">
        <v>95.650009999999995</v>
      </c>
      <c r="AF309" s="175">
        <v>3.9042400000000002</v>
      </c>
      <c r="AG309" s="174">
        <v>19.249739999999999</v>
      </c>
      <c r="AH309" s="175">
        <v>1517.69957</v>
      </c>
      <c r="AI309" s="174" t="s">
        <v>1727</v>
      </c>
      <c r="AJ309" s="174" t="s">
        <v>767</v>
      </c>
      <c r="AK309" s="174" t="str">
        <f t="shared" si="49"/>
        <v>MB</v>
      </c>
    </row>
    <row r="310" spans="26:37" ht="14.4" x14ac:dyDescent="0.3">
      <c r="Z310" s="173" t="s">
        <v>612</v>
      </c>
      <c r="AA310" s="175" t="s">
        <v>718</v>
      </c>
      <c r="AB310" s="174" t="s">
        <v>719</v>
      </c>
      <c r="AC310" s="174" t="s">
        <v>1366</v>
      </c>
      <c r="AD310" s="174" t="s">
        <v>1732</v>
      </c>
      <c r="AE310" s="242">
        <v>95.650009999999995</v>
      </c>
      <c r="AF310" s="175">
        <v>3.9042400000000002</v>
      </c>
      <c r="AG310" s="174">
        <v>19.249739999999999</v>
      </c>
      <c r="AH310" s="175">
        <v>1517.69957</v>
      </c>
      <c r="AI310" s="174" t="s">
        <v>1727</v>
      </c>
      <c r="AJ310" s="174" t="s">
        <v>767</v>
      </c>
      <c r="AK310" s="174" t="str">
        <f t="shared" si="49"/>
        <v>MB</v>
      </c>
    </row>
    <row r="311" spans="26:37" ht="14.4" x14ac:dyDescent="0.3">
      <c r="Z311" s="173" t="s">
        <v>502</v>
      </c>
      <c r="AA311" s="175" t="s">
        <v>2473</v>
      </c>
      <c r="AB311" s="174" t="s">
        <v>1062</v>
      </c>
      <c r="AC311" s="174" t="s">
        <v>1469</v>
      </c>
      <c r="AD311" s="174" t="s">
        <v>2474</v>
      </c>
      <c r="AE311" s="242">
        <v>260.05972000000003</v>
      </c>
      <c r="AF311" s="175">
        <v>10.61509</v>
      </c>
      <c r="AG311" s="174">
        <v>52.337490000000003</v>
      </c>
      <c r="AH311" s="175">
        <v>4250.2179400000005</v>
      </c>
      <c r="AI311" s="174" t="s">
        <v>1727</v>
      </c>
      <c r="AJ311" s="174" t="s">
        <v>767</v>
      </c>
      <c r="AK311" s="174" t="str">
        <f t="shared" ref="AK311:AK374" si="50">VLOOKUP(AI311,$AN$241:$AO$244,2,0)</f>
        <v>MB</v>
      </c>
    </row>
    <row r="312" spans="26:37" ht="14.4" x14ac:dyDescent="0.3">
      <c r="Z312" s="173" t="s">
        <v>576</v>
      </c>
      <c r="AA312" s="175" t="s">
        <v>2475</v>
      </c>
      <c r="AB312" s="174" t="s">
        <v>1040</v>
      </c>
      <c r="AC312" s="174" t="s">
        <v>1459</v>
      </c>
      <c r="AD312" s="174" t="s">
        <v>2476</v>
      </c>
      <c r="AE312" s="242">
        <v>540.54475000000002</v>
      </c>
      <c r="AF312" s="175">
        <v>22.063890000000001</v>
      </c>
      <c r="AG312" s="174">
        <v>108.78563</v>
      </c>
      <c r="AH312" s="175">
        <v>8834.2516899999991</v>
      </c>
      <c r="AI312" s="174" t="s">
        <v>1727</v>
      </c>
      <c r="AJ312" s="174" t="s">
        <v>767</v>
      </c>
      <c r="AK312" s="174" t="str">
        <f t="shared" si="50"/>
        <v>MB</v>
      </c>
    </row>
    <row r="313" spans="26:37" ht="14.4" x14ac:dyDescent="0.3">
      <c r="Z313" s="173" t="s">
        <v>493</v>
      </c>
      <c r="AA313" s="175" t="s">
        <v>2477</v>
      </c>
      <c r="AB313" s="174" t="s">
        <v>1071</v>
      </c>
      <c r="AC313" s="174" t="s">
        <v>1472</v>
      </c>
      <c r="AD313" s="174" t="s">
        <v>2478</v>
      </c>
      <c r="AE313" s="242">
        <v>119.16104</v>
      </c>
      <c r="AF313" s="175">
        <v>4.8639000000000001</v>
      </c>
      <c r="AG313" s="174">
        <v>23.981380000000001</v>
      </c>
      <c r="AH313" s="175">
        <v>1947.4772399999999</v>
      </c>
      <c r="AI313" s="174" t="s">
        <v>1727</v>
      </c>
      <c r="AJ313" s="174" t="s">
        <v>767</v>
      </c>
      <c r="AK313" s="174" t="str">
        <f t="shared" si="50"/>
        <v>MB</v>
      </c>
    </row>
    <row r="314" spans="26:37" ht="14.4" x14ac:dyDescent="0.3">
      <c r="Z314" s="173" t="s">
        <v>490</v>
      </c>
      <c r="AA314" s="175" t="s">
        <v>2479</v>
      </c>
      <c r="AB314" s="174" t="s">
        <v>1073</v>
      </c>
      <c r="AC314" s="174" t="s">
        <v>1473</v>
      </c>
      <c r="AD314" s="174" t="s">
        <v>1754</v>
      </c>
      <c r="AE314" s="242">
        <v>119.16104</v>
      </c>
      <c r="AF314" s="175">
        <v>4.8639000000000001</v>
      </c>
      <c r="AG314" s="174">
        <v>23.981380000000001</v>
      </c>
      <c r="AH314" s="175">
        <v>1947.4772399999999</v>
      </c>
      <c r="AI314" s="174" t="s">
        <v>1727</v>
      </c>
      <c r="AJ314" s="174" t="s">
        <v>767</v>
      </c>
      <c r="AK314" s="174" t="str">
        <f t="shared" si="50"/>
        <v>MB</v>
      </c>
    </row>
    <row r="315" spans="26:37" ht="14.4" x14ac:dyDescent="0.3">
      <c r="Z315" s="173" t="s">
        <v>489</v>
      </c>
      <c r="AA315" s="175" t="s">
        <v>2480</v>
      </c>
      <c r="AB315" s="174" t="s">
        <v>2481</v>
      </c>
      <c r="AC315" s="174" t="s">
        <v>1474</v>
      </c>
      <c r="AD315" s="174" t="s">
        <v>2482</v>
      </c>
      <c r="AE315" s="242">
        <v>119.16104</v>
      </c>
      <c r="AF315" s="175">
        <v>4.8639000000000001</v>
      </c>
      <c r="AG315" s="174">
        <v>23.981380000000001</v>
      </c>
      <c r="AH315" s="175">
        <v>1947.4772399999999</v>
      </c>
      <c r="AI315" s="174" t="s">
        <v>1727</v>
      </c>
      <c r="AJ315" s="174" t="s">
        <v>767</v>
      </c>
      <c r="AK315" s="174" t="str">
        <f t="shared" si="50"/>
        <v>MB</v>
      </c>
    </row>
    <row r="316" spans="26:37" ht="14.4" x14ac:dyDescent="0.3">
      <c r="Z316" s="173" t="s">
        <v>495</v>
      </c>
      <c r="AA316" s="175" t="s">
        <v>1076</v>
      </c>
      <c r="AB316" s="174" t="s">
        <v>1076</v>
      </c>
      <c r="AC316" s="174" t="s">
        <v>1475</v>
      </c>
      <c r="AD316" s="174" t="s">
        <v>2483</v>
      </c>
      <c r="AE316" s="242">
        <v>330.95582999999999</v>
      </c>
      <c r="AF316" s="175">
        <v>13.50892</v>
      </c>
      <c r="AG316" s="174">
        <v>66.605469999999997</v>
      </c>
      <c r="AH316" s="175">
        <v>5408.8903099999998</v>
      </c>
      <c r="AI316" s="174" t="s">
        <v>1727</v>
      </c>
      <c r="AJ316" s="174" t="s">
        <v>767</v>
      </c>
      <c r="AK316" s="174" t="str">
        <f t="shared" si="50"/>
        <v>MB</v>
      </c>
    </row>
    <row r="317" spans="26:37" ht="14.4" x14ac:dyDescent="0.3">
      <c r="Z317" s="173" t="s">
        <v>492</v>
      </c>
      <c r="AA317" s="242" t="e">
        <v>#N/A</v>
      </c>
      <c r="AB317" s="242" t="e">
        <v>#N/A</v>
      </c>
      <c r="AC317" s="251" t="e">
        <v>#N/A</v>
      </c>
      <c r="AD317" s="242" t="e">
        <v>#N/A</v>
      </c>
      <c r="AE317" s="242" t="e">
        <v>#N/A</v>
      </c>
      <c r="AF317" s="175" t="e">
        <v>#N/A</v>
      </c>
      <c r="AG317" s="174" t="e">
        <v>#N/A</v>
      </c>
      <c r="AH317" s="175" t="e">
        <v>#N/A</v>
      </c>
      <c r="AI317" s="242" t="e">
        <v>#N/A</v>
      </c>
      <c r="AJ317" s="242" t="e">
        <v>#N/A</v>
      </c>
      <c r="AK317" s="174" t="e">
        <f t="shared" si="50"/>
        <v>#N/A</v>
      </c>
    </row>
    <row r="318" spans="26:37" ht="14.4" x14ac:dyDescent="0.3">
      <c r="Z318" s="173" t="s">
        <v>496</v>
      </c>
      <c r="AA318" s="175" t="s">
        <v>1079</v>
      </c>
      <c r="AB318" s="174" t="s">
        <v>1079</v>
      </c>
      <c r="AC318" s="174" t="s">
        <v>1477</v>
      </c>
      <c r="AD318" s="174" t="s">
        <v>2484</v>
      </c>
      <c r="AE318" s="242" t="e">
        <v>#N/A</v>
      </c>
      <c r="AF318" s="175" t="e">
        <v>#N/A</v>
      </c>
      <c r="AG318" s="174" t="e">
        <v>#N/A</v>
      </c>
      <c r="AH318" s="175" t="e">
        <v>#N/A</v>
      </c>
      <c r="AI318" s="174" t="s">
        <v>1727</v>
      </c>
      <c r="AJ318" s="174" t="s">
        <v>630</v>
      </c>
      <c r="AK318" s="174" t="str">
        <f t="shared" si="50"/>
        <v>MB</v>
      </c>
    </row>
    <row r="319" spans="26:37" ht="14.4" x14ac:dyDescent="0.3">
      <c r="Z319" s="173" t="s">
        <v>497</v>
      </c>
      <c r="AA319" s="175" t="e">
        <v>#N/A</v>
      </c>
      <c r="AB319" s="174" t="e">
        <v>#N/A</v>
      </c>
      <c r="AC319" s="174" t="e">
        <v>#N/A</v>
      </c>
      <c r="AD319" s="174" t="e">
        <v>#N/A</v>
      </c>
      <c r="AE319" s="242" t="e">
        <v>#N/A</v>
      </c>
      <c r="AF319" s="175" t="e">
        <v>#N/A</v>
      </c>
      <c r="AG319" s="174" t="e">
        <v>#N/A</v>
      </c>
      <c r="AH319" s="175" t="e">
        <v>#N/A</v>
      </c>
      <c r="AI319" s="174" t="e">
        <v>#N/A</v>
      </c>
      <c r="AJ319" s="174" t="e">
        <v>#N/A</v>
      </c>
      <c r="AK319" s="174" t="e">
        <f t="shared" si="50"/>
        <v>#N/A</v>
      </c>
    </row>
    <row r="320" spans="26:37" ht="14.4" x14ac:dyDescent="0.3">
      <c r="Z320" s="173" t="s">
        <v>491</v>
      </c>
      <c r="AA320" s="175" t="s">
        <v>1081</v>
      </c>
      <c r="AB320" s="174" t="s">
        <v>1082</v>
      </c>
      <c r="AC320" s="174" t="s">
        <v>1478</v>
      </c>
      <c r="AD320" s="174" t="s">
        <v>2485</v>
      </c>
      <c r="AE320" s="242" t="e">
        <v>#N/A</v>
      </c>
      <c r="AF320" s="175" t="e">
        <v>#N/A</v>
      </c>
      <c r="AG320" s="174" t="e">
        <v>#N/A</v>
      </c>
      <c r="AH320" s="175" t="e">
        <v>#N/A</v>
      </c>
      <c r="AI320" s="174" t="s">
        <v>1727</v>
      </c>
      <c r="AJ320" s="174" t="s">
        <v>1925</v>
      </c>
      <c r="AK320" s="174" t="str">
        <f t="shared" si="50"/>
        <v>MB</v>
      </c>
    </row>
    <row r="321" spans="26:37" ht="14.4" x14ac:dyDescent="0.3">
      <c r="Z321" s="173" t="s">
        <v>494</v>
      </c>
      <c r="AA321" s="175" t="s">
        <v>2486</v>
      </c>
      <c r="AB321" s="174" t="s">
        <v>1034</v>
      </c>
      <c r="AC321" s="174" t="s">
        <v>1457</v>
      </c>
      <c r="AD321" s="174" t="s">
        <v>2487</v>
      </c>
      <c r="AE321" s="242">
        <v>323.09528</v>
      </c>
      <c r="AF321" s="175">
        <v>13.18806</v>
      </c>
      <c r="AG321" s="174">
        <v>65.023520000000005</v>
      </c>
      <c r="AH321" s="175">
        <v>5280.4229800000003</v>
      </c>
      <c r="AI321" s="174" t="s">
        <v>1727</v>
      </c>
      <c r="AJ321" s="174" t="s">
        <v>767</v>
      </c>
      <c r="AK321" s="174" t="str">
        <f t="shared" si="50"/>
        <v>MB</v>
      </c>
    </row>
    <row r="322" spans="26:37" ht="14.4" x14ac:dyDescent="0.3">
      <c r="Z322" s="173" t="s">
        <v>601</v>
      </c>
      <c r="AA322" s="175" t="s">
        <v>2488</v>
      </c>
      <c r="AB322" s="174" t="s">
        <v>1850</v>
      </c>
      <c r="AC322" s="174" t="s">
        <v>1479</v>
      </c>
      <c r="AD322" s="174" t="s">
        <v>2489</v>
      </c>
      <c r="AE322" s="242">
        <v>138.55318</v>
      </c>
      <c r="AF322" s="175">
        <v>5.6554399999999996</v>
      </c>
      <c r="AG322" s="174">
        <v>27.88409</v>
      </c>
      <c r="AH322" s="175">
        <v>2264.4077699999998</v>
      </c>
      <c r="AI322" s="174" t="s">
        <v>723</v>
      </c>
      <c r="AJ322" s="174" t="s">
        <v>767</v>
      </c>
      <c r="AK322" s="174" t="str">
        <f t="shared" si="50"/>
        <v>KOMP.</v>
      </c>
    </row>
    <row r="323" spans="26:37" ht="14.4" x14ac:dyDescent="0.3">
      <c r="Z323" s="173" t="s">
        <v>598</v>
      </c>
      <c r="AA323" s="175" t="s">
        <v>2490</v>
      </c>
      <c r="AB323" s="174" t="s">
        <v>1852</v>
      </c>
      <c r="AC323" s="174" t="s">
        <v>1480</v>
      </c>
      <c r="AD323" s="174" t="s">
        <v>1757</v>
      </c>
      <c r="AE323" s="242">
        <v>138.55318</v>
      </c>
      <c r="AF323" s="175">
        <v>5.6554399999999996</v>
      </c>
      <c r="AG323" s="174">
        <v>27.88409</v>
      </c>
      <c r="AH323" s="175">
        <v>2264.4077699999998</v>
      </c>
      <c r="AI323" s="174" t="s">
        <v>723</v>
      </c>
      <c r="AJ323" s="174" t="s">
        <v>767</v>
      </c>
      <c r="AK323" s="174" t="str">
        <f t="shared" si="50"/>
        <v>KOMP.</v>
      </c>
    </row>
    <row r="324" spans="26:37" ht="14.4" x14ac:dyDescent="0.3">
      <c r="Z324" s="173" t="s">
        <v>603</v>
      </c>
      <c r="AA324" s="175" t="s">
        <v>2491</v>
      </c>
      <c r="AB324" s="174" t="s">
        <v>2492</v>
      </c>
      <c r="AC324" s="174" t="s">
        <v>1481</v>
      </c>
      <c r="AD324" s="174" t="s">
        <v>2493</v>
      </c>
      <c r="AE324" s="242">
        <v>138.55318</v>
      </c>
      <c r="AF324" s="175">
        <v>5.6554399999999996</v>
      </c>
      <c r="AG324" s="174">
        <v>27.88409</v>
      </c>
      <c r="AH324" s="175">
        <v>2264.4077699999998</v>
      </c>
      <c r="AI324" s="174" t="s">
        <v>723</v>
      </c>
      <c r="AJ324" s="174" t="s">
        <v>767</v>
      </c>
      <c r="AK324" s="174" t="str">
        <f t="shared" si="50"/>
        <v>KOMP.</v>
      </c>
    </row>
    <row r="325" spans="26:37" ht="14.4" x14ac:dyDescent="0.3">
      <c r="Z325" s="173" t="s">
        <v>604</v>
      </c>
      <c r="AA325" s="175" t="s">
        <v>2494</v>
      </c>
      <c r="AB325" s="174" t="s">
        <v>2495</v>
      </c>
      <c r="AC325" s="174" t="s">
        <v>1758</v>
      </c>
      <c r="AD325" s="174" t="s">
        <v>2496</v>
      </c>
      <c r="AE325" s="242">
        <v>138.55318</v>
      </c>
      <c r="AF325" s="175">
        <v>5.6554399999999996</v>
      </c>
      <c r="AG325" s="174">
        <v>27.88409</v>
      </c>
      <c r="AH325" s="175">
        <v>2264.4077699999998</v>
      </c>
      <c r="AI325" s="174" t="s">
        <v>723</v>
      </c>
      <c r="AJ325" s="174" t="s">
        <v>767</v>
      </c>
      <c r="AK325" s="174" t="str">
        <f t="shared" si="50"/>
        <v>KOMP.</v>
      </c>
    </row>
    <row r="326" spans="26:37" ht="14.4" x14ac:dyDescent="0.3">
      <c r="Z326" s="173" t="s">
        <v>600</v>
      </c>
      <c r="AA326" s="175" t="s">
        <v>2497</v>
      </c>
      <c r="AB326" s="174" t="s">
        <v>2498</v>
      </c>
      <c r="AC326" s="174" t="s">
        <v>1760</v>
      </c>
      <c r="AD326" s="174" t="s">
        <v>2499</v>
      </c>
      <c r="AE326" s="242" t="e">
        <v>#N/A</v>
      </c>
      <c r="AF326" s="175" t="e">
        <v>#N/A</v>
      </c>
      <c r="AG326" s="174" t="e">
        <v>#N/A</v>
      </c>
      <c r="AH326" s="175" t="e">
        <v>#N/A</v>
      </c>
      <c r="AI326" s="174" t="s">
        <v>723</v>
      </c>
      <c r="AJ326" s="174" t="s">
        <v>1925</v>
      </c>
      <c r="AK326" s="174" t="str">
        <f t="shared" si="50"/>
        <v>KOMP.</v>
      </c>
    </row>
    <row r="327" spans="26:37" ht="14.4" x14ac:dyDescent="0.3">
      <c r="Z327" s="173" t="s">
        <v>602</v>
      </c>
      <c r="AA327" s="175" t="s">
        <v>2500</v>
      </c>
      <c r="AB327" s="174" t="s">
        <v>2501</v>
      </c>
      <c r="AC327" s="174" t="s">
        <v>1761</v>
      </c>
      <c r="AD327" s="174" t="s">
        <v>2502</v>
      </c>
      <c r="AE327" s="242" t="e">
        <v>#N/A</v>
      </c>
      <c r="AF327" s="175" t="e">
        <v>#N/A</v>
      </c>
      <c r="AG327" s="174" t="e">
        <v>#N/A</v>
      </c>
      <c r="AH327" s="175" t="e">
        <v>#N/A</v>
      </c>
      <c r="AI327" s="174" t="s">
        <v>723</v>
      </c>
      <c r="AJ327" s="174" t="s">
        <v>630</v>
      </c>
      <c r="AK327" s="174" t="str">
        <f t="shared" si="50"/>
        <v>KOMP.</v>
      </c>
    </row>
    <row r="328" spans="26:37" ht="14.4" x14ac:dyDescent="0.3">
      <c r="Z328" s="173" t="s">
        <v>605</v>
      </c>
      <c r="AA328" s="175" t="e">
        <v>#N/A</v>
      </c>
      <c r="AB328" s="174" t="e">
        <v>#N/A</v>
      </c>
      <c r="AC328" s="174" t="e">
        <v>#N/A</v>
      </c>
      <c r="AD328" s="174" t="e">
        <v>#N/A</v>
      </c>
      <c r="AE328" s="242" t="e">
        <v>#N/A</v>
      </c>
      <c r="AF328" s="175" t="e">
        <v>#N/A</v>
      </c>
      <c r="AG328" s="174" t="e">
        <v>#N/A</v>
      </c>
      <c r="AH328" s="175" t="e">
        <v>#N/A</v>
      </c>
      <c r="AI328" s="174" t="e">
        <v>#N/A</v>
      </c>
      <c r="AJ328" s="174" t="e">
        <v>#N/A</v>
      </c>
      <c r="AK328" s="174" t="e">
        <f t="shared" si="50"/>
        <v>#N/A</v>
      </c>
    </row>
    <row r="329" spans="26:37" ht="14.4" x14ac:dyDescent="0.3">
      <c r="Z329" s="173" t="s">
        <v>599</v>
      </c>
      <c r="AA329" s="175" t="e">
        <v>#N/A</v>
      </c>
      <c r="AB329" s="174" t="e">
        <v>#N/A</v>
      </c>
      <c r="AC329" s="174" t="e">
        <v>#N/A</v>
      </c>
      <c r="AD329" s="174" t="e">
        <v>#N/A</v>
      </c>
      <c r="AE329" s="242" t="e">
        <v>#N/A</v>
      </c>
      <c r="AF329" s="175" t="e">
        <v>#N/A</v>
      </c>
      <c r="AG329" s="174" t="e">
        <v>#N/A</v>
      </c>
      <c r="AH329" s="175" t="e">
        <v>#N/A</v>
      </c>
      <c r="AI329" s="174" t="e">
        <v>#N/A</v>
      </c>
      <c r="AJ329" s="174" t="e">
        <v>#N/A</v>
      </c>
      <c r="AK329" s="174" t="e">
        <f t="shared" si="50"/>
        <v>#N/A</v>
      </c>
    </row>
    <row r="330" spans="26:37" ht="14.4" x14ac:dyDescent="0.3">
      <c r="Z330" s="173" t="s">
        <v>590</v>
      </c>
      <c r="AA330" s="175" t="s">
        <v>2503</v>
      </c>
      <c r="AB330" s="174" t="s">
        <v>1068</v>
      </c>
      <c r="AC330" s="174" t="s">
        <v>1471</v>
      </c>
      <c r="AD330" s="174" t="s">
        <v>2504</v>
      </c>
      <c r="AE330" s="242">
        <v>197.81970999999999</v>
      </c>
      <c r="AF330" s="175">
        <v>8.0745900000000006</v>
      </c>
      <c r="AG330" s="174">
        <v>39.811579999999999</v>
      </c>
      <c r="AH330" s="175">
        <v>3233.0147999999999</v>
      </c>
      <c r="AI330" s="174" t="s">
        <v>657</v>
      </c>
      <c r="AJ330" s="174" t="s">
        <v>767</v>
      </c>
      <c r="AK330" s="174" t="str">
        <f t="shared" si="50"/>
        <v>PAR.</v>
      </c>
    </row>
    <row r="331" spans="26:37" ht="14.4" x14ac:dyDescent="0.3">
      <c r="Z331" s="173" t="s">
        <v>606</v>
      </c>
      <c r="AA331" s="175" t="s">
        <v>2505</v>
      </c>
      <c r="AB331" s="174" t="s">
        <v>2506</v>
      </c>
      <c r="AC331" s="174" t="s">
        <v>1456</v>
      </c>
      <c r="AD331" s="174" t="s">
        <v>2507</v>
      </c>
      <c r="AE331" s="242">
        <v>33.088560000000001</v>
      </c>
      <c r="AF331" s="175">
        <v>1.3506</v>
      </c>
      <c r="AG331" s="174">
        <v>6.6591399999999998</v>
      </c>
      <c r="AH331" s="175">
        <v>540.77453000000003</v>
      </c>
      <c r="AI331" s="174" t="s">
        <v>643</v>
      </c>
      <c r="AJ331" s="174" t="s">
        <v>767</v>
      </c>
      <c r="AK331" s="174" t="str">
        <f t="shared" si="50"/>
        <v>SZT.</v>
      </c>
    </row>
    <row r="332" spans="26:37" ht="14.4" x14ac:dyDescent="0.3">
      <c r="Z332" s="173" t="s">
        <v>564</v>
      </c>
      <c r="AA332" s="175" t="s">
        <v>2508</v>
      </c>
      <c r="AB332" s="174" t="s">
        <v>696</v>
      </c>
      <c r="AC332" s="174" t="s">
        <v>1358</v>
      </c>
      <c r="AD332" s="174" t="s">
        <v>2509</v>
      </c>
      <c r="AE332" s="242">
        <v>10.080159999999999</v>
      </c>
      <c r="AF332" s="175">
        <v>0.41143999999999997</v>
      </c>
      <c r="AG332" s="174">
        <v>2.0286400000000002</v>
      </c>
      <c r="AH332" s="175">
        <v>159.94414</v>
      </c>
      <c r="AI332" s="174" t="s">
        <v>643</v>
      </c>
      <c r="AJ332" s="174" t="s">
        <v>630</v>
      </c>
      <c r="AK332" s="174" t="str">
        <f t="shared" si="50"/>
        <v>SZT.</v>
      </c>
    </row>
    <row r="333" spans="26:37" ht="14.4" x14ac:dyDescent="0.3">
      <c r="Z333" s="173" t="s">
        <v>563</v>
      </c>
      <c r="AA333" s="175" t="s">
        <v>2510</v>
      </c>
      <c r="AB333" s="174" t="s">
        <v>699</v>
      </c>
      <c r="AC333" s="174" t="s">
        <v>1359</v>
      </c>
      <c r="AD333" s="174" t="s">
        <v>2511</v>
      </c>
      <c r="AE333" s="242">
        <v>10.080159999999999</v>
      </c>
      <c r="AF333" s="175">
        <v>0.41143999999999997</v>
      </c>
      <c r="AG333" s="174">
        <v>2.0286400000000002</v>
      </c>
      <c r="AH333" s="175">
        <v>159.94414</v>
      </c>
      <c r="AI333" s="174" t="s">
        <v>643</v>
      </c>
      <c r="AJ333" s="174" t="s">
        <v>630</v>
      </c>
      <c r="AK333" s="174" t="str">
        <f t="shared" si="50"/>
        <v>SZT.</v>
      </c>
    </row>
    <row r="334" spans="26:37" ht="14.4" x14ac:dyDescent="0.3">
      <c r="Z334" s="173" t="s">
        <v>566</v>
      </c>
      <c r="AA334" s="175" t="s">
        <v>2512</v>
      </c>
      <c r="AB334" s="174" t="s">
        <v>2513</v>
      </c>
      <c r="AC334" s="174" t="s">
        <v>1360</v>
      </c>
      <c r="AD334" s="174" t="s">
        <v>2514</v>
      </c>
      <c r="AE334" s="242">
        <v>10.080159999999999</v>
      </c>
      <c r="AF334" s="175">
        <v>0.41143999999999997</v>
      </c>
      <c r="AG334" s="174">
        <v>2.0286400000000002</v>
      </c>
      <c r="AH334" s="175">
        <v>159.94414</v>
      </c>
      <c r="AI334" s="174" t="s">
        <v>643</v>
      </c>
      <c r="AJ334" s="174" t="s">
        <v>630</v>
      </c>
      <c r="AK334" s="174" t="str">
        <f t="shared" si="50"/>
        <v>SZT.</v>
      </c>
    </row>
    <row r="335" spans="26:37" ht="14.4" x14ac:dyDescent="0.3">
      <c r="Z335" s="173" t="s">
        <v>562</v>
      </c>
      <c r="AA335" s="175" t="s">
        <v>2515</v>
      </c>
      <c r="AB335" s="174" t="s">
        <v>2516</v>
      </c>
      <c r="AC335" s="174" t="s">
        <v>1361</v>
      </c>
      <c r="AD335" s="174" t="s">
        <v>2517</v>
      </c>
      <c r="AE335" s="242">
        <v>10.080159999999999</v>
      </c>
      <c r="AF335" s="175">
        <v>0.41143999999999997</v>
      </c>
      <c r="AG335" s="174">
        <v>2.0286400000000002</v>
      </c>
      <c r="AH335" s="175">
        <v>164.74245999999999</v>
      </c>
      <c r="AI335" s="174" t="s">
        <v>643</v>
      </c>
      <c r="AJ335" s="174" t="s">
        <v>630</v>
      </c>
      <c r="AK335" s="174" t="str">
        <f t="shared" si="50"/>
        <v>SZT.</v>
      </c>
    </row>
    <row r="336" spans="26:37" ht="14.4" x14ac:dyDescent="0.3">
      <c r="Z336" s="173" t="s">
        <v>550</v>
      </c>
      <c r="AA336" s="175" t="s">
        <v>2518</v>
      </c>
      <c r="AB336" s="174" t="s">
        <v>708</v>
      </c>
      <c r="AC336" s="174" t="s">
        <v>1362</v>
      </c>
      <c r="AD336" s="174" t="s">
        <v>2519</v>
      </c>
      <c r="AE336" s="242">
        <v>10.080159999999999</v>
      </c>
      <c r="AF336" s="175">
        <v>0.41143999999999997</v>
      </c>
      <c r="AG336" s="174">
        <v>2.0286400000000002</v>
      </c>
      <c r="AH336" s="175">
        <v>159.94414</v>
      </c>
      <c r="AI336" s="174" t="s">
        <v>643</v>
      </c>
      <c r="AJ336" s="174" t="s">
        <v>630</v>
      </c>
      <c r="AK336" s="174" t="str">
        <f t="shared" si="50"/>
        <v>SZT.</v>
      </c>
    </row>
    <row r="337" spans="26:37" ht="14.4" x14ac:dyDescent="0.3">
      <c r="Z337" s="173" t="s">
        <v>565</v>
      </c>
      <c r="AA337" s="175" t="s">
        <v>2520</v>
      </c>
      <c r="AB337" s="174" t="s">
        <v>711</v>
      </c>
      <c r="AC337" s="174" t="s">
        <v>1363</v>
      </c>
      <c r="AD337" s="174" t="s">
        <v>2521</v>
      </c>
      <c r="AE337" s="242">
        <v>10.080159999999999</v>
      </c>
      <c r="AF337" s="175">
        <v>0.41143999999999997</v>
      </c>
      <c r="AG337" s="174">
        <v>2.0286400000000002</v>
      </c>
      <c r="AH337" s="175">
        <v>159.94414</v>
      </c>
      <c r="AI337" s="174" t="s">
        <v>643</v>
      </c>
      <c r="AJ337" s="174" t="s">
        <v>630</v>
      </c>
      <c r="AK337" s="174" t="str">
        <f t="shared" si="50"/>
        <v>SZT.</v>
      </c>
    </row>
    <row r="338" spans="26:37" ht="14.4" x14ac:dyDescent="0.3">
      <c r="Z338" s="173" t="s">
        <v>567</v>
      </c>
      <c r="AA338" s="175" t="s">
        <v>2522</v>
      </c>
      <c r="AB338" s="174" t="s">
        <v>714</v>
      </c>
      <c r="AC338" s="174" t="s">
        <v>1364</v>
      </c>
      <c r="AD338" s="174" t="s">
        <v>2523</v>
      </c>
      <c r="AE338" s="242">
        <v>10.080159999999999</v>
      </c>
      <c r="AF338" s="175">
        <v>0.41143999999999997</v>
      </c>
      <c r="AG338" s="174">
        <v>2.0286400000000002</v>
      </c>
      <c r="AH338" s="175">
        <v>159.94414</v>
      </c>
      <c r="AI338" s="174" t="s">
        <v>643</v>
      </c>
      <c r="AJ338" s="174" t="s">
        <v>630</v>
      </c>
      <c r="AK338" s="174" t="str">
        <f t="shared" si="50"/>
        <v>SZT.</v>
      </c>
    </row>
    <row r="339" spans="26:37" ht="14.4" x14ac:dyDescent="0.3">
      <c r="Z339" s="173" t="s">
        <v>575</v>
      </c>
      <c r="AA339" s="175" t="s">
        <v>941</v>
      </c>
      <c r="AB339" s="174" t="s">
        <v>1745</v>
      </c>
      <c r="AC339" s="174" t="s">
        <v>1431</v>
      </c>
      <c r="AD339" s="174" t="s">
        <v>2524</v>
      </c>
      <c r="AE339" s="242">
        <v>101.91293</v>
      </c>
      <c r="AF339" s="175">
        <v>4.1598800000000002</v>
      </c>
      <c r="AG339" s="174">
        <v>20.510159999999999</v>
      </c>
      <c r="AH339" s="175">
        <v>1665.58718</v>
      </c>
      <c r="AI339" s="174" t="s">
        <v>1727</v>
      </c>
      <c r="AJ339" s="174" t="s">
        <v>767</v>
      </c>
      <c r="AK339" s="174" t="str">
        <f t="shared" si="50"/>
        <v>MB</v>
      </c>
    </row>
    <row r="340" spans="26:37" ht="14.4" x14ac:dyDescent="0.3">
      <c r="Z340" s="173" t="s">
        <v>573</v>
      </c>
      <c r="AA340" s="175" t="s">
        <v>939</v>
      </c>
      <c r="AB340" s="174" t="s">
        <v>1703</v>
      </c>
      <c r="AC340" s="174" t="s">
        <v>1430</v>
      </c>
      <c r="AD340" s="174" t="s">
        <v>2525</v>
      </c>
      <c r="AE340" s="242">
        <v>101.91293</v>
      </c>
      <c r="AF340" s="175">
        <v>4.1598800000000002</v>
      </c>
      <c r="AG340" s="174">
        <v>20.510159999999999</v>
      </c>
      <c r="AH340" s="175">
        <v>1665.58718</v>
      </c>
      <c r="AI340" s="174" t="s">
        <v>1727</v>
      </c>
      <c r="AJ340" s="174" t="s">
        <v>767</v>
      </c>
      <c r="AK340" s="174" t="str">
        <f t="shared" si="50"/>
        <v>MB</v>
      </c>
    </row>
    <row r="341" spans="26:37" ht="14.4" x14ac:dyDescent="0.3">
      <c r="Z341" s="173" t="s">
        <v>584</v>
      </c>
      <c r="AA341" s="175" t="s">
        <v>936</v>
      </c>
      <c r="AB341" s="174" t="s">
        <v>2526</v>
      </c>
      <c r="AC341" s="174" t="s">
        <v>1429</v>
      </c>
      <c r="AD341" s="174" t="s">
        <v>2527</v>
      </c>
      <c r="AE341" s="242">
        <v>101.91293</v>
      </c>
      <c r="AF341" s="175">
        <v>4.1598800000000002</v>
      </c>
      <c r="AG341" s="174">
        <v>20.510159999999999</v>
      </c>
      <c r="AH341" s="175">
        <v>1665.58718</v>
      </c>
      <c r="AI341" s="174" t="s">
        <v>1727</v>
      </c>
      <c r="AJ341" s="174" t="s">
        <v>767</v>
      </c>
      <c r="AK341" s="174" t="str">
        <f t="shared" si="50"/>
        <v>MB</v>
      </c>
    </row>
    <row r="342" spans="26:37" ht="14.4" x14ac:dyDescent="0.3">
      <c r="Z342" s="173" t="s">
        <v>571</v>
      </c>
      <c r="AA342" s="175" t="s">
        <v>2528</v>
      </c>
      <c r="AB342" s="174" t="s">
        <v>2529</v>
      </c>
      <c r="AC342" s="174" t="s">
        <v>1741</v>
      </c>
      <c r="AD342" s="174" t="s">
        <v>2530</v>
      </c>
      <c r="AE342" s="242">
        <v>101.91293</v>
      </c>
      <c r="AF342" s="175">
        <v>4.1598800000000002</v>
      </c>
      <c r="AG342" s="174">
        <v>20.510159999999999</v>
      </c>
      <c r="AH342" s="175">
        <v>1665.58718</v>
      </c>
      <c r="AI342" s="174" t="s">
        <v>1727</v>
      </c>
      <c r="AJ342" s="174" t="s">
        <v>767</v>
      </c>
      <c r="AK342" s="174" t="str">
        <f t="shared" si="50"/>
        <v>MB</v>
      </c>
    </row>
    <row r="343" spans="26:37" ht="14.4" x14ac:dyDescent="0.3">
      <c r="Z343" s="173" t="s">
        <v>578</v>
      </c>
      <c r="AA343" s="175" t="s">
        <v>2531</v>
      </c>
      <c r="AB343" s="174" t="s">
        <v>886</v>
      </c>
      <c r="AC343" s="174" t="s">
        <v>1412</v>
      </c>
      <c r="AD343" s="174" t="s">
        <v>2532</v>
      </c>
      <c r="AE343" s="242">
        <v>101.91293</v>
      </c>
      <c r="AF343" s="175">
        <v>4.1598800000000002</v>
      </c>
      <c r="AG343" s="174">
        <v>20.510159999999999</v>
      </c>
      <c r="AH343" s="175">
        <v>1665.58718</v>
      </c>
      <c r="AI343" s="174" t="s">
        <v>1727</v>
      </c>
      <c r="AJ343" s="174" t="s">
        <v>767</v>
      </c>
      <c r="AK343" s="174" t="str">
        <f t="shared" si="50"/>
        <v>MB</v>
      </c>
    </row>
    <row r="344" spans="26:37" ht="14.4" x14ac:dyDescent="0.3">
      <c r="Z344" s="173" t="s">
        <v>580</v>
      </c>
      <c r="AA344" s="175" t="s">
        <v>933</v>
      </c>
      <c r="AB344" s="174" t="s">
        <v>934</v>
      </c>
      <c r="AC344" s="174" t="s">
        <v>1428</v>
      </c>
      <c r="AD344" s="174" t="s">
        <v>2533</v>
      </c>
      <c r="AE344" s="242">
        <v>101.91293</v>
      </c>
      <c r="AF344" s="175">
        <v>4.1598800000000002</v>
      </c>
      <c r="AG344" s="174">
        <v>20.510159999999999</v>
      </c>
      <c r="AH344" s="175">
        <v>1665.58718</v>
      </c>
      <c r="AI344" s="174" t="s">
        <v>1727</v>
      </c>
      <c r="AJ344" s="174" t="s">
        <v>767</v>
      </c>
      <c r="AK344" s="174" t="str">
        <f t="shared" si="50"/>
        <v>MB</v>
      </c>
    </row>
    <row r="345" spans="26:37" ht="14.4" x14ac:dyDescent="0.3">
      <c r="Z345" s="173" t="s">
        <v>582</v>
      </c>
      <c r="AA345" s="175" t="s">
        <v>864</v>
      </c>
      <c r="AB345" s="174" t="s">
        <v>1555</v>
      </c>
      <c r="AC345" s="174" t="s">
        <v>1403</v>
      </c>
      <c r="AD345" s="174" t="s">
        <v>2534</v>
      </c>
      <c r="AE345" s="242">
        <v>101.91293</v>
      </c>
      <c r="AF345" s="175">
        <v>4.1598800000000002</v>
      </c>
      <c r="AG345" s="174">
        <v>20.510159999999999</v>
      </c>
      <c r="AH345" s="175">
        <v>1665.58718</v>
      </c>
      <c r="AI345" s="174" t="s">
        <v>1727</v>
      </c>
      <c r="AJ345" s="174" t="s">
        <v>767</v>
      </c>
      <c r="AK345" s="174" t="str">
        <f t="shared" si="50"/>
        <v>MB</v>
      </c>
    </row>
    <row r="346" spans="26:37" ht="14.4" x14ac:dyDescent="0.3">
      <c r="Z346" s="173" t="s">
        <v>568</v>
      </c>
      <c r="AA346" s="175" t="s">
        <v>836</v>
      </c>
      <c r="AB346" s="174" t="s">
        <v>837</v>
      </c>
      <c r="AC346" s="174" t="s">
        <v>1392</v>
      </c>
      <c r="AD346" s="174" t="s">
        <v>2535</v>
      </c>
      <c r="AE346" s="242">
        <v>101.91293</v>
      </c>
      <c r="AF346" s="175">
        <v>4.1598800000000002</v>
      </c>
      <c r="AG346" s="174">
        <v>20.510159999999999</v>
      </c>
      <c r="AH346" s="175">
        <v>1665.58718</v>
      </c>
      <c r="AI346" s="174" t="s">
        <v>1727</v>
      </c>
      <c r="AJ346" s="174" t="s">
        <v>767</v>
      </c>
      <c r="AK346" s="174" t="str">
        <f t="shared" si="50"/>
        <v>MB</v>
      </c>
    </row>
    <row r="347" spans="26:37" ht="14.4" x14ac:dyDescent="0.3">
      <c r="Z347" s="173" t="s">
        <v>581</v>
      </c>
      <c r="AA347" s="175" t="s">
        <v>830</v>
      </c>
      <c r="AB347" s="174" t="s">
        <v>831</v>
      </c>
      <c r="AC347" s="174" t="s">
        <v>1390</v>
      </c>
      <c r="AD347" s="174" t="s">
        <v>2536</v>
      </c>
      <c r="AE347" s="242">
        <v>80.64667</v>
      </c>
      <c r="AF347" s="175">
        <v>3.29183</v>
      </c>
      <c r="AG347" s="174">
        <v>16.23028</v>
      </c>
      <c r="AH347" s="175">
        <v>1279.6386</v>
      </c>
      <c r="AI347" s="174" t="s">
        <v>1727</v>
      </c>
      <c r="AJ347" s="174" t="s">
        <v>767</v>
      </c>
      <c r="AK347" s="174" t="str">
        <f t="shared" si="50"/>
        <v>MB</v>
      </c>
    </row>
    <row r="348" spans="26:37" ht="14.4" x14ac:dyDescent="0.3">
      <c r="Z348" s="173" t="s">
        <v>579</v>
      </c>
      <c r="AA348" s="175" t="s">
        <v>833</v>
      </c>
      <c r="AB348" s="174" t="s">
        <v>834</v>
      </c>
      <c r="AC348" s="174" t="s">
        <v>1391</v>
      </c>
      <c r="AD348" s="174" t="s">
        <v>2537</v>
      </c>
      <c r="AE348" s="242">
        <v>80.64667</v>
      </c>
      <c r="AF348" s="175">
        <v>3.29183</v>
      </c>
      <c r="AG348" s="174">
        <v>16.23028</v>
      </c>
      <c r="AH348" s="175">
        <v>1279.6386</v>
      </c>
      <c r="AI348" s="174" t="s">
        <v>1727</v>
      </c>
      <c r="AJ348" s="174" t="s">
        <v>767</v>
      </c>
      <c r="AK348" s="174" t="str">
        <f t="shared" si="50"/>
        <v>MB</v>
      </c>
    </row>
    <row r="349" spans="26:37" ht="14.4" x14ac:dyDescent="0.3">
      <c r="Z349" s="173" t="s">
        <v>539</v>
      </c>
      <c r="AA349" s="175" t="s">
        <v>2538</v>
      </c>
      <c r="AB349" s="174" t="s">
        <v>1743</v>
      </c>
      <c r="AC349" s="174" t="s">
        <v>1404</v>
      </c>
      <c r="AD349" s="174" t="s">
        <v>2539</v>
      </c>
      <c r="AE349" s="242">
        <v>29.03265</v>
      </c>
      <c r="AF349" s="175">
        <v>1.1850499999999999</v>
      </c>
      <c r="AG349" s="174">
        <v>5.8428699999999996</v>
      </c>
      <c r="AH349" s="175">
        <v>474.48766999999998</v>
      </c>
      <c r="AI349" s="174" t="s">
        <v>643</v>
      </c>
      <c r="AJ349" s="174" t="s">
        <v>767</v>
      </c>
      <c r="AK349" s="174" t="str">
        <f t="shared" si="50"/>
        <v>SZT.</v>
      </c>
    </row>
    <row r="350" spans="26:37" ht="14.4" x14ac:dyDescent="0.3">
      <c r="Z350" s="173" t="s">
        <v>607</v>
      </c>
      <c r="AA350" s="175" t="s">
        <v>2540</v>
      </c>
      <c r="AB350" s="174" t="s">
        <v>1704</v>
      </c>
      <c r="AC350" s="174" t="s">
        <v>1419</v>
      </c>
      <c r="AD350" s="174" t="s">
        <v>2541</v>
      </c>
      <c r="AE350" s="242">
        <v>29.03265</v>
      </c>
      <c r="AF350" s="175">
        <v>1.1850499999999999</v>
      </c>
      <c r="AG350" s="174">
        <v>5.8428699999999996</v>
      </c>
      <c r="AH350" s="175">
        <v>474.48766999999998</v>
      </c>
      <c r="AI350" s="174" t="s">
        <v>643</v>
      </c>
      <c r="AJ350" s="174" t="s">
        <v>767</v>
      </c>
      <c r="AK350" s="174" t="str">
        <f t="shared" si="50"/>
        <v>SZT.</v>
      </c>
    </row>
    <row r="351" spans="26:37" ht="14.4" x14ac:dyDescent="0.3">
      <c r="Z351" s="173" t="s">
        <v>548</v>
      </c>
      <c r="AA351" s="175" t="s">
        <v>2542</v>
      </c>
      <c r="AB351" s="174" t="s">
        <v>2543</v>
      </c>
      <c r="AC351" s="174" t="s">
        <v>1420</v>
      </c>
      <c r="AD351" s="174" t="s">
        <v>2544</v>
      </c>
      <c r="AE351" s="242">
        <v>29.03265</v>
      </c>
      <c r="AF351" s="175">
        <v>1.1850499999999999</v>
      </c>
      <c r="AG351" s="174">
        <v>5.8428699999999996</v>
      </c>
      <c r="AH351" s="175">
        <v>474.48766999999998</v>
      </c>
      <c r="AI351" s="174" t="s">
        <v>643</v>
      </c>
      <c r="AJ351" s="174" t="s">
        <v>767</v>
      </c>
      <c r="AK351" s="174" t="str">
        <f t="shared" si="50"/>
        <v>SZT.</v>
      </c>
    </row>
    <row r="352" spans="26:37" ht="14.4" x14ac:dyDescent="0.3">
      <c r="Z352" s="173" t="s">
        <v>537</v>
      </c>
      <c r="AA352" s="175" t="s">
        <v>2545</v>
      </c>
      <c r="AB352" s="174" t="s">
        <v>2546</v>
      </c>
      <c r="AC352" s="174" t="s">
        <v>1437</v>
      </c>
      <c r="AD352" s="174" t="s">
        <v>2547</v>
      </c>
      <c r="AE352" s="242">
        <v>29.03265</v>
      </c>
      <c r="AF352" s="175">
        <v>1.1850499999999999</v>
      </c>
      <c r="AG352" s="174">
        <v>5.8428699999999996</v>
      </c>
      <c r="AH352" s="175">
        <v>474.48766999999998</v>
      </c>
      <c r="AI352" s="174" t="s">
        <v>643</v>
      </c>
      <c r="AJ352" s="174" t="s">
        <v>767</v>
      </c>
      <c r="AK352" s="174" t="str">
        <f t="shared" si="50"/>
        <v>SZT.</v>
      </c>
    </row>
    <row r="353" spans="26:37" ht="14.4" x14ac:dyDescent="0.3">
      <c r="Z353" s="173" t="s">
        <v>541</v>
      </c>
      <c r="AA353" s="175" t="s">
        <v>2548</v>
      </c>
      <c r="AB353" s="174" t="s">
        <v>889</v>
      </c>
      <c r="AC353" s="174" t="s">
        <v>1413</v>
      </c>
      <c r="AD353" s="174" t="s">
        <v>2549</v>
      </c>
      <c r="AE353" s="242">
        <v>29.03265</v>
      </c>
      <c r="AF353" s="175">
        <v>1.1850499999999999</v>
      </c>
      <c r="AG353" s="174">
        <v>5.8428699999999996</v>
      </c>
      <c r="AH353" s="175">
        <v>474.48766999999998</v>
      </c>
      <c r="AI353" s="174" t="s">
        <v>643</v>
      </c>
      <c r="AJ353" s="174" t="s">
        <v>767</v>
      </c>
      <c r="AK353" s="174" t="str">
        <f t="shared" si="50"/>
        <v>SZT.</v>
      </c>
    </row>
    <row r="354" spans="26:37" ht="14.4" x14ac:dyDescent="0.3">
      <c r="Z354" s="173" t="s">
        <v>542</v>
      </c>
      <c r="AA354" s="175" t="s">
        <v>2550</v>
      </c>
      <c r="AB354" s="174" t="s">
        <v>913</v>
      </c>
      <c r="AC354" s="174" t="s">
        <v>1421</v>
      </c>
      <c r="AD354" s="174" t="s">
        <v>2551</v>
      </c>
      <c r="AE354" s="242">
        <v>29.03265</v>
      </c>
      <c r="AF354" s="175">
        <v>1.1850499999999999</v>
      </c>
      <c r="AG354" s="174">
        <v>5.8428699999999996</v>
      </c>
      <c r="AH354" s="175">
        <v>474.48766999999998</v>
      </c>
      <c r="AI354" s="174" t="s">
        <v>643</v>
      </c>
      <c r="AJ354" s="174" t="s">
        <v>767</v>
      </c>
      <c r="AK354" s="174" t="str">
        <f t="shared" si="50"/>
        <v>SZT.</v>
      </c>
    </row>
    <row r="355" spans="26:37" ht="14.4" x14ac:dyDescent="0.3">
      <c r="Z355" s="173" t="s">
        <v>544</v>
      </c>
      <c r="AA355" s="175" t="s">
        <v>2552</v>
      </c>
      <c r="AB355" s="174" t="s">
        <v>916</v>
      </c>
      <c r="AC355" s="174" t="s">
        <v>1422</v>
      </c>
      <c r="AD355" s="174" t="s">
        <v>2553</v>
      </c>
      <c r="AE355" s="242">
        <v>29.03265</v>
      </c>
      <c r="AF355" s="175">
        <v>1.1850499999999999</v>
      </c>
      <c r="AG355" s="174">
        <v>5.8428699999999996</v>
      </c>
      <c r="AH355" s="175">
        <v>474.48766999999998</v>
      </c>
      <c r="AI355" s="174" t="s">
        <v>643</v>
      </c>
      <c r="AJ355" s="174" t="s">
        <v>767</v>
      </c>
      <c r="AK355" s="174" t="str">
        <f t="shared" si="50"/>
        <v>SZT.</v>
      </c>
    </row>
    <row r="356" spans="26:37" ht="14.4" x14ac:dyDescent="0.3">
      <c r="Z356" s="173" t="s">
        <v>545</v>
      </c>
      <c r="AA356" s="175" t="s">
        <v>2554</v>
      </c>
      <c r="AB356" s="174" t="s">
        <v>846</v>
      </c>
      <c r="AC356" s="174" t="s">
        <v>1395</v>
      </c>
      <c r="AD356" s="174" t="s">
        <v>2555</v>
      </c>
      <c r="AE356" s="242">
        <v>29.03265</v>
      </c>
      <c r="AF356" s="175">
        <v>1.1850499999999999</v>
      </c>
      <c r="AG356" s="174">
        <v>5.8428699999999996</v>
      </c>
      <c r="AH356" s="175">
        <v>474.48766999999998</v>
      </c>
      <c r="AI356" s="174" t="s">
        <v>643</v>
      </c>
      <c r="AJ356" s="174" t="s">
        <v>767</v>
      </c>
      <c r="AK356" s="174" t="str">
        <f t="shared" si="50"/>
        <v>SZT.</v>
      </c>
    </row>
    <row r="357" spans="26:37" ht="14.4" x14ac:dyDescent="0.3">
      <c r="Z357" s="173" t="s">
        <v>543</v>
      </c>
      <c r="AA357" s="175" t="s">
        <v>2556</v>
      </c>
      <c r="AB357" s="174" t="s">
        <v>840</v>
      </c>
      <c r="AC357" s="174" t="s">
        <v>1393</v>
      </c>
      <c r="AD357" s="174" t="s">
        <v>2557</v>
      </c>
      <c r="AE357" s="242">
        <v>22.980499999999999</v>
      </c>
      <c r="AF357" s="175">
        <v>0.93801999999999996</v>
      </c>
      <c r="AG357" s="174">
        <v>4.6248800000000001</v>
      </c>
      <c r="AH357" s="175">
        <v>364.63659999999999</v>
      </c>
      <c r="AI357" s="174" t="s">
        <v>643</v>
      </c>
      <c r="AJ357" s="174" t="s">
        <v>767</v>
      </c>
      <c r="AK357" s="174" t="str">
        <f t="shared" si="50"/>
        <v>SZT.</v>
      </c>
    </row>
    <row r="358" spans="26:37" ht="14.4" x14ac:dyDescent="0.3">
      <c r="Z358" s="173" t="s">
        <v>546</v>
      </c>
      <c r="AA358" s="175" t="s">
        <v>2558</v>
      </c>
      <c r="AB358" s="174" t="s">
        <v>843</v>
      </c>
      <c r="AC358" s="174" t="s">
        <v>1394</v>
      </c>
      <c r="AD358" s="174" t="s">
        <v>2559</v>
      </c>
      <c r="AE358" s="242">
        <v>22.980499999999999</v>
      </c>
      <c r="AF358" s="175">
        <v>0.93801999999999996</v>
      </c>
      <c r="AG358" s="174">
        <v>4.6248800000000001</v>
      </c>
      <c r="AH358" s="175">
        <v>364.63659999999999</v>
      </c>
      <c r="AI358" s="174" t="s">
        <v>643</v>
      </c>
      <c r="AJ358" s="174" t="s">
        <v>767</v>
      </c>
      <c r="AK358" s="174" t="str">
        <f t="shared" si="50"/>
        <v>SZT.</v>
      </c>
    </row>
    <row r="359" spans="26:37" ht="14.4" x14ac:dyDescent="0.3">
      <c r="Z359" s="173" t="s">
        <v>569</v>
      </c>
      <c r="AA359" s="175" t="s">
        <v>2560</v>
      </c>
      <c r="AB359" s="174" t="s">
        <v>2561</v>
      </c>
      <c r="AC359" s="174" t="s">
        <v>1445</v>
      </c>
      <c r="AD359" s="174" t="s">
        <v>2562</v>
      </c>
      <c r="AE359" s="242">
        <v>849.18970000000002</v>
      </c>
      <c r="AF359" s="175">
        <v>34.662129999999998</v>
      </c>
      <c r="AG359" s="174">
        <v>170.90098</v>
      </c>
      <c r="AH359" s="175">
        <v>13878.509319999999</v>
      </c>
      <c r="AI359" s="174" t="s">
        <v>1727</v>
      </c>
      <c r="AJ359" s="174" t="s">
        <v>767</v>
      </c>
      <c r="AK359" s="174" t="str">
        <f t="shared" si="50"/>
        <v>MB</v>
      </c>
    </row>
    <row r="360" spans="26:37" ht="14.4" x14ac:dyDescent="0.3">
      <c r="Z360" s="173" t="s">
        <v>570</v>
      </c>
      <c r="AA360" s="175" t="s">
        <v>2563</v>
      </c>
      <c r="AB360" s="174" t="s">
        <v>2564</v>
      </c>
      <c r="AC360" s="174" t="s">
        <v>1446</v>
      </c>
      <c r="AD360" s="174" t="s">
        <v>2565</v>
      </c>
      <c r="AE360" s="242">
        <v>934.85699</v>
      </c>
      <c r="AF360" s="175">
        <v>38.158880000000003</v>
      </c>
      <c r="AG360" s="174">
        <v>188.14168000000001</v>
      </c>
      <c r="AH360" s="175">
        <v>15278.590340000001</v>
      </c>
      <c r="AI360" s="174" t="s">
        <v>1727</v>
      </c>
      <c r="AJ360" s="174" t="s">
        <v>767</v>
      </c>
      <c r="AK360" s="174" t="str">
        <f t="shared" si="50"/>
        <v>MB</v>
      </c>
    </row>
    <row r="361" spans="26:37" ht="14.4" x14ac:dyDescent="0.3">
      <c r="Z361" s="173" t="s">
        <v>610</v>
      </c>
      <c r="AA361" s="175" t="s">
        <v>2566</v>
      </c>
      <c r="AB361" s="174" t="s">
        <v>1543</v>
      </c>
      <c r="AC361" s="174" t="s">
        <v>1544</v>
      </c>
      <c r="AD361" s="174" t="s">
        <v>2567</v>
      </c>
      <c r="AE361" s="242" t="e">
        <v>#N/A</v>
      </c>
      <c r="AF361" s="175" t="e">
        <v>#N/A</v>
      </c>
      <c r="AG361" s="174" t="e">
        <v>#N/A</v>
      </c>
      <c r="AH361" s="175" t="e">
        <v>#N/A</v>
      </c>
      <c r="AI361" s="174" t="s">
        <v>1727</v>
      </c>
      <c r="AJ361" s="174" t="s">
        <v>630</v>
      </c>
      <c r="AK361" s="174" t="str">
        <f t="shared" si="50"/>
        <v>MB</v>
      </c>
    </row>
    <row r="362" spans="26:37" ht="14.4" x14ac:dyDescent="0.3">
      <c r="Z362" s="173" t="s">
        <v>455</v>
      </c>
      <c r="AA362" s="175" t="s">
        <v>2568</v>
      </c>
      <c r="AB362" s="174" t="s">
        <v>1108</v>
      </c>
      <c r="AC362" s="174" t="s">
        <v>1489</v>
      </c>
      <c r="AD362" s="174" t="s">
        <v>2569</v>
      </c>
      <c r="AE362" s="242">
        <v>91.18235</v>
      </c>
      <c r="AF362" s="175">
        <v>3.7218599999999999</v>
      </c>
      <c r="AG362" s="174">
        <v>18.350619999999999</v>
      </c>
      <c r="AH362" s="175">
        <v>1490.21471</v>
      </c>
      <c r="AI362" s="174" t="s">
        <v>657</v>
      </c>
      <c r="AJ362" s="174" t="s">
        <v>767</v>
      </c>
      <c r="AK362" s="174" t="str">
        <f t="shared" si="50"/>
        <v>PAR.</v>
      </c>
    </row>
    <row r="363" spans="26:37" ht="14.4" x14ac:dyDescent="0.3">
      <c r="Z363" s="173" t="s">
        <v>454</v>
      </c>
      <c r="AA363" s="175" t="s">
        <v>2570</v>
      </c>
      <c r="AB363" s="174" t="s">
        <v>2571</v>
      </c>
      <c r="AC363" s="174" t="s">
        <v>1426</v>
      </c>
      <c r="AD363" s="174" t="s">
        <v>2572</v>
      </c>
      <c r="AE363" s="242">
        <v>91.18235</v>
      </c>
      <c r="AF363" s="175">
        <v>3.7218599999999999</v>
      </c>
      <c r="AG363" s="174">
        <v>18.350619999999999</v>
      </c>
      <c r="AH363" s="175">
        <v>1490.21471</v>
      </c>
      <c r="AI363" s="174" t="s">
        <v>657</v>
      </c>
      <c r="AJ363" s="174" t="s">
        <v>767</v>
      </c>
      <c r="AK363" s="174" t="str">
        <f t="shared" si="50"/>
        <v>PAR.</v>
      </c>
    </row>
    <row r="364" spans="26:37" ht="14.4" x14ac:dyDescent="0.3">
      <c r="Z364" s="173" t="s">
        <v>453</v>
      </c>
      <c r="AA364" s="175" t="s">
        <v>2573</v>
      </c>
      <c r="AB364" s="174" t="s">
        <v>1166</v>
      </c>
      <c r="AC364" s="174" t="s">
        <v>1513</v>
      </c>
      <c r="AD364" s="174" t="s">
        <v>2574</v>
      </c>
      <c r="AE364" s="242">
        <v>91.18235</v>
      </c>
      <c r="AF364" s="175">
        <v>3.7218599999999999</v>
      </c>
      <c r="AG364" s="174">
        <v>18.350619999999999</v>
      </c>
      <c r="AH364" s="175">
        <v>1490.21471</v>
      </c>
      <c r="AI364" s="174" t="s">
        <v>657</v>
      </c>
      <c r="AJ364" s="174" t="s">
        <v>767</v>
      </c>
      <c r="AK364" s="174" t="str">
        <f t="shared" si="50"/>
        <v>PAR.</v>
      </c>
    </row>
    <row r="365" spans="26:37" ht="14.4" x14ac:dyDescent="0.3">
      <c r="Z365" s="173" t="s">
        <v>596</v>
      </c>
      <c r="AA365" s="175" t="s">
        <v>1744</v>
      </c>
      <c r="AB365" s="174" t="s">
        <v>904</v>
      </c>
      <c r="AC365" s="174" t="s">
        <v>905</v>
      </c>
      <c r="AD365" s="174" t="s">
        <v>2575</v>
      </c>
      <c r="AE365" s="242">
        <v>367.85561999999999</v>
      </c>
      <c r="AF365" s="175">
        <v>15.015079999999999</v>
      </c>
      <c r="AG365" s="174">
        <v>74.031620000000004</v>
      </c>
      <c r="AH365" s="175">
        <v>6011.9522200000001</v>
      </c>
      <c r="AI365" s="174" t="s">
        <v>643</v>
      </c>
      <c r="AJ365" s="174" t="s">
        <v>767</v>
      </c>
      <c r="AK365" s="174" t="str">
        <f t="shared" si="50"/>
        <v>SZT.</v>
      </c>
    </row>
    <row r="366" spans="26:37" ht="14.4" x14ac:dyDescent="0.3">
      <c r="Z366" s="173" t="s">
        <v>595</v>
      </c>
      <c r="AA366" s="175" t="s">
        <v>1009</v>
      </c>
      <c r="AB366" s="174" t="s">
        <v>1010</v>
      </c>
      <c r="AC366" s="174" t="s">
        <v>1011</v>
      </c>
      <c r="AD366" s="174" t="s">
        <v>2576</v>
      </c>
      <c r="AE366" s="242">
        <v>3084.3579399999999</v>
      </c>
      <c r="AF366" s="175">
        <v>125.89695</v>
      </c>
      <c r="AG366" s="174">
        <v>620.73266999999998</v>
      </c>
      <c r="AH366" s="175">
        <v>50408.396110000001</v>
      </c>
      <c r="AI366" s="174" t="s">
        <v>643</v>
      </c>
      <c r="AJ366" s="174" t="s">
        <v>767</v>
      </c>
      <c r="AK366" s="174" t="str">
        <f t="shared" si="50"/>
        <v>SZT.</v>
      </c>
    </row>
    <row r="367" spans="26:37" ht="14.4" x14ac:dyDescent="0.3">
      <c r="Z367" s="173" t="s">
        <v>591</v>
      </c>
      <c r="AA367" s="175" t="s">
        <v>981</v>
      </c>
      <c r="AB367" s="174" t="s">
        <v>982</v>
      </c>
      <c r="AC367" s="174" t="s">
        <v>983</v>
      </c>
      <c r="AD367" s="174" t="s">
        <v>2577</v>
      </c>
      <c r="AE367" s="242">
        <v>3068.7211400000001</v>
      </c>
      <c r="AF367" s="175">
        <v>125.25867</v>
      </c>
      <c r="AG367" s="174">
        <v>617.58573000000001</v>
      </c>
      <c r="AH367" s="175">
        <v>50152.840190000003</v>
      </c>
      <c r="AI367" s="174" t="s">
        <v>643</v>
      </c>
      <c r="AJ367" s="174" t="s">
        <v>767</v>
      </c>
      <c r="AK367" s="174" t="str">
        <f t="shared" si="50"/>
        <v>SZT.</v>
      </c>
    </row>
    <row r="368" spans="26:37" ht="14.4" x14ac:dyDescent="0.3">
      <c r="Z368" s="173" t="s">
        <v>592</v>
      </c>
      <c r="AA368" s="175" t="s">
        <v>988</v>
      </c>
      <c r="AB368" s="174" t="s">
        <v>989</v>
      </c>
      <c r="AC368" s="174" t="s">
        <v>990</v>
      </c>
      <c r="AD368" s="174" t="s">
        <v>2578</v>
      </c>
      <c r="AE368" s="242">
        <v>3244.9143199999999</v>
      </c>
      <c r="AF368" s="175">
        <v>132.45052000000001</v>
      </c>
      <c r="AG368" s="174">
        <v>653.04493000000002</v>
      </c>
      <c r="AH368" s="175">
        <v>53032.407480000002</v>
      </c>
      <c r="AI368" s="174" t="s">
        <v>643</v>
      </c>
      <c r="AJ368" s="174" t="s">
        <v>767</v>
      </c>
      <c r="AK368" s="174" t="str">
        <f t="shared" si="50"/>
        <v>SZT.</v>
      </c>
    </row>
    <row r="369" spans="26:37" ht="14.4" x14ac:dyDescent="0.3">
      <c r="Z369" s="173" t="s">
        <v>593</v>
      </c>
      <c r="AA369" s="175" t="s">
        <v>992</v>
      </c>
      <c r="AB369" s="174" t="s">
        <v>993</v>
      </c>
      <c r="AC369" s="174" t="s">
        <v>994</v>
      </c>
      <c r="AD369" s="174" t="s">
        <v>2579</v>
      </c>
      <c r="AE369" s="242">
        <v>3390.1131300000002</v>
      </c>
      <c r="AF369" s="175">
        <v>138.37721999999999</v>
      </c>
      <c r="AG369" s="174">
        <v>682.26646000000005</v>
      </c>
      <c r="AH369" s="175">
        <v>55405.426420000003</v>
      </c>
      <c r="AI369" s="174" t="s">
        <v>643</v>
      </c>
      <c r="AJ369" s="174" t="s">
        <v>767</v>
      </c>
      <c r="AK369" s="174" t="str">
        <f t="shared" si="50"/>
        <v>SZT.</v>
      </c>
    </row>
    <row r="370" spans="26:37" ht="14.4" x14ac:dyDescent="0.3">
      <c r="Z370" s="173" t="s">
        <v>594</v>
      </c>
      <c r="AA370" s="175" t="s">
        <v>996</v>
      </c>
      <c r="AB370" s="174" t="s">
        <v>997</v>
      </c>
      <c r="AC370" s="174" t="s">
        <v>998</v>
      </c>
      <c r="AD370" s="174" t="s">
        <v>2580</v>
      </c>
      <c r="AE370" s="242">
        <v>3505.1552700000002</v>
      </c>
      <c r="AF370" s="175">
        <v>143.07300000000001</v>
      </c>
      <c r="AG370" s="174">
        <v>705.41887999999994</v>
      </c>
      <c r="AH370" s="175">
        <v>57285.587509999998</v>
      </c>
      <c r="AI370" s="174" t="s">
        <v>643</v>
      </c>
      <c r="AJ370" s="174" t="s">
        <v>767</v>
      </c>
      <c r="AK370" s="174" t="str">
        <f t="shared" si="50"/>
        <v>SZT.</v>
      </c>
    </row>
    <row r="371" spans="26:37" ht="14.4" x14ac:dyDescent="0.3">
      <c r="Z371" s="173" t="s">
        <v>793</v>
      </c>
      <c r="AA371" s="175" t="e">
        <v>#N/A</v>
      </c>
      <c r="AB371" s="174" t="e">
        <v>#N/A</v>
      </c>
      <c r="AC371" s="174" t="e">
        <v>#N/A</v>
      </c>
      <c r="AD371" s="174" t="e">
        <v>#N/A</v>
      </c>
      <c r="AE371" s="242" t="e">
        <v>#N/A</v>
      </c>
      <c r="AF371" s="175" t="e">
        <v>#N/A</v>
      </c>
      <c r="AG371" s="174" t="e">
        <v>#N/A</v>
      </c>
      <c r="AH371" s="175" t="e">
        <v>#N/A</v>
      </c>
      <c r="AI371" s="174" t="e">
        <v>#N/A</v>
      </c>
      <c r="AJ371" s="174" t="e">
        <v>#N/A</v>
      </c>
      <c r="AK371" s="174" t="e">
        <f t="shared" si="50"/>
        <v>#N/A</v>
      </c>
    </row>
    <row r="372" spans="26:37" ht="14.4" x14ac:dyDescent="0.3">
      <c r="Z372" s="173" t="s">
        <v>1013</v>
      </c>
      <c r="AA372" s="175" t="s">
        <v>2581</v>
      </c>
      <c r="AB372" s="174" t="s">
        <v>1015</v>
      </c>
      <c r="AC372" s="174" t="s">
        <v>1763</v>
      </c>
      <c r="AD372" s="174" t="s">
        <v>2582</v>
      </c>
      <c r="AE372" s="242">
        <v>39.343299999999999</v>
      </c>
      <c r="AF372" s="175">
        <v>1.6059099999999999</v>
      </c>
      <c r="AG372" s="174">
        <v>7.9179000000000004</v>
      </c>
      <c r="AH372" s="175">
        <v>642.99697000000003</v>
      </c>
      <c r="AI372" s="174" t="s">
        <v>657</v>
      </c>
      <c r="AJ372" s="174" t="s">
        <v>767</v>
      </c>
      <c r="AK372" s="174" t="str">
        <f t="shared" si="50"/>
        <v>PAR.</v>
      </c>
    </row>
    <row r="373" spans="26:37" ht="14.4" x14ac:dyDescent="0.3">
      <c r="Z373" s="173" t="s">
        <v>442</v>
      </c>
      <c r="AA373" s="175" t="s">
        <v>1150</v>
      </c>
      <c r="AB373" s="174" t="s">
        <v>1151</v>
      </c>
      <c r="AC373" s="174" t="s">
        <v>1507</v>
      </c>
      <c r="AD373" s="174" t="s">
        <v>2583</v>
      </c>
      <c r="AE373" s="242">
        <v>522.43650000000002</v>
      </c>
      <c r="AF373" s="175">
        <v>21.324739999999998</v>
      </c>
      <c r="AG373" s="174">
        <v>105.1413</v>
      </c>
      <c r="AH373" s="175">
        <v>8538.30429</v>
      </c>
      <c r="AI373" s="174" t="s">
        <v>657</v>
      </c>
      <c r="AJ373" s="174" t="s">
        <v>767</v>
      </c>
      <c r="AK373" s="174" t="str">
        <f t="shared" si="50"/>
        <v>PAR.</v>
      </c>
    </row>
    <row r="374" spans="26:37" ht="14.4" x14ac:dyDescent="0.3">
      <c r="Z374" s="173" t="s">
        <v>467</v>
      </c>
      <c r="AA374" s="175" t="s">
        <v>861</v>
      </c>
      <c r="AB374" s="174" t="s">
        <v>862</v>
      </c>
      <c r="AC374" s="174" t="s">
        <v>1402</v>
      </c>
      <c r="AD374" s="174" t="s">
        <v>2584</v>
      </c>
      <c r="AE374" s="242">
        <v>343.54906</v>
      </c>
      <c r="AF374" s="175">
        <v>14.02294</v>
      </c>
      <c r="AG374" s="174">
        <v>69.139859999999999</v>
      </c>
      <c r="AH374" s="175">
        <v>5614.7039999999997</v>
      </c>
      <c r="AI374" s="174" t="s">
        <v>1727</v>
      </c>
      <c r="AJ374" s="174" t="s">
        <v>767</v>
      </c>
      <c r="AK374" s="174" t="str">
        <f t="shared" si="50"/>
        <v>MB</v>
      </c>
    </row>
    <row r="375" spans="26:37" ht="14.4" x14ac:dyDescent="0.3">
      <c r="Z375" s="173" t="s">
        <v>463</v>
      </c>
      <c r="AA375" s="175" t="s">
        <v>946</v>
      </c>
      <c r="AB375" s="174" t="s">
        <v>947</v>
      </c>
      <c r="AC375" s="174" t="s">
        <v>1433</v>
      </c>
      <c r="AD375" s="174" t="s">
        <v>2585</v>
      </c>
      <c r="AE375" s="242">
        <v>343.54906</v>
      </c>
      <c r="AF375" s="175">
        <v>14.02294</v>
      </c>
      <c r="AG375" s="174">
        <v>69.139859999999999</v>
      </c>
      <c r="AH375" s="175">
        <v>5614.7039999999997</v>
      </c>
      <c r="AI375" s="174" t="s">
        <v>1727</v>
      </c>
      <c r="AJ375" s="174" t="s">
        <v>767</v>
      </c>
      <c r="AK375" s="174" t="str">
        <f t="shared" ref="AK375:AK438" si="51">VLOOKUP(AI375,$AN$241:$AO$244,2,0)</f>
        <v>MB</v>
      </c>
    </row>
    <row r="376" spans="26:37" ht="14.4" x14ac:dyDescent="0.3">
      <c r="Z376" s="173" t="s">
        <v>472</v>
      </c>
      <c r="AA376" s="175" t="s">
        <v>881</v>
      </c>
      <c r="AB376" s="174" t="s">
        <v>2586</v>
      </c>
      <c r="AC376" s="174" t="s">
        <v>1410</v>
      </c>
      <c r="AD376" s="174" t="s">
        <v>2587</v>
      </c>
      <c r="AE376" s="242">
        <v>343.54906</v>
      </c>
      <c r="AF376" s="175">
        <v>14.02294</v>
      </c>
      <c r="AG376" s="174">
        <v>69.139859999999999</v>
      </c>
      <c r="AH376" s="175">
        <v>5614.7039999999997</v>
      </c>
      <c r="AI376" s="174" t="s">
        <v>1727</v>
      </c>
      <c r="AJ376" s="174" t="s">
        <v>767</v>
      </c>
      <c r="AK376" s="174" t="str">
        <f t="shared" si="51"/>
        <v>MB</v>
      </c>
    </row>
    <row r="377" spans="26:37" ht="14.4" x14ac:dyDescent="0.3">
      <c r="Z377" s="173" t="s">
        <v>468</v>
      </c>
      <c r="AA377" s="175" t="s">
        <v>801</v>
      </c>
      <c r="AB377" s="174" t="s">
        <v>801</v>
      </c>
      <c r="AC377" s="174" t="s">
        <v>1380</v>
      </c>
      <c r="AD377" s="174" t="s">
        <v>2588</v>
      </c>
      <c r="AE377" s="242">
        <v>400.30196000000001</v>
      </c>
      <c r="AF377" s="175">
        <v>16.339469999999999</v>
      </c>
      <c r="AG377" s="174">
        <v>80.561509999999998</v>
      </c>
      <c r="AH377" s="175">
        <v>6542.2302099999997</v>
      </c>
      <c r="AI377" s="174" t="s">
        <v>1727</v>
      </c>
      <c r="AJ377" s="174" t="s">
        <v>767</v>
      </c>
      <c r="AK377" s="174" t="str">
        <f t="shared" si="51"/>
        <v>MB</v>
      </c>
    </row>
    <row r="378" spans="26:37" ht="14.4" x14ac:dyDescent="0.3">
      <c r="Z378" s="173" t="s">
        <v>465</v>
      </c>
      <c r="AA378" s="175" t="s">
        <v>857</v>
      </c>
      <c r="AB378" s="174" t="s">
        <v>857</v>
      </c>
      <c r="AC378" s="174" t="s">
        <v>1400</v>
      </c>
      <c r="AD378" s="174" t="s">
        <v>2589</v>
      </c>
      <c r="AE378" s="242">
        <v>400.30196000000001</v>
      </c>
      <c r="AF378" s="175">
        <v>16.339469999999999</v>
      </c>
      <c r="AG378" s="174">
        <v>80.561509999999998</v>
      </c>
      <c r="AH378" s="175">
        <v>6542.2302099999997</v>
      </c>
      <c r="AI378" s="174" t="s">
        <v>1727</v>
      </c>
      <c r="AJ378" s="174" t="s">
        <v>767</v>
      </c>
      <c r="AK378" s="174" t="str">
        <f t="shared" si="51"/>
        <v>MB</v>
      </c>
    </row>
    <row r="379" spans="26:37" ht="14.4" x14ac:dyDescent="0.3">
      <c r="Z379" s="173" t="s">
        <v>469</v>
      </c>
      <c r="AA379" s="175" t="s">
        <v>902</v>
      </c>
      <c r="AB379" s="174" t="s">
        <v>902</v>
      </c>
      <c r="AC379" s="174" t="s">
        <v>1418</v>
      </c>
      <c r="AD379" s="174" t="s">
        <v>2590</v>
      </c>
      <c r="AE379" s="242">
        <v>400.30196000000001</v>
      </c>
      <c r="AF379" s="175">
        <v>16.339469999999999</v>
      </c>
      <c r="AG379" s="174">
        <v>80.561509999999998</v>
      </c>
      <c r="AH379" s="175">
        <v>6542.2302099999997</v>
      </c>
      <c r="AI379" s="174" t="s">
        <v>1727</v>
      </c>
      <c r="AJ379" s="174" t="s">
        <v>767</v>
      </c>
      <c r="AK379" s="174" t="str">
        <f t="shared" si="51"/>
        <v>MB</v>
      </c>
    </row>
    <row r="380" spans="26:37" ht="14.4" x14ac:dyDescent="0.3">
      <c r="Z380" s="173" t="s">
        <v>474</v>
      </c>
      <c r="AA380" s="175" t="s">
        <v>949</v>
      </c>
      <c r="AB380" s="174" t="s">
        <v>950</v>
      </c>
      <c r="AC380" s="174" t="s">
        <v>1434</v>
      </c>
      <c r="AD380" s="174" t="s">
        <v>2591</v>
      </c>
      <c r="AE380" s="242">
        <v>400.30196000000001</v>
      </c>
      <c r="AF380" s="175">
        <v>16.339469999999999</v>
      </c>
      <c r="AG380" s="174">
        <v>80.561509999999998</v>
      </c>
      <c r="AH380" s="175">
        <v>6542.2302099999997</v>
      </c>
      <c r="AI380" s="174" t="s">
        <v>1727</v>
      </c>
      <c r="AJ380" s="174" t="s">
        <v>767</v>
      </c>
      <c r="AK380" s="174" t="str">
        <f t="shared" si="51"/>
        <v>MB</v>
      </c>
    </row>
    <row r="381" spans="26:37" ht="14.4" x14ac:dyDescent="0.3">
      <c r="Z381" s="173" t="s">
        <v>464</v>
      </c>
      <c r="AA381" s="175" t="s">
        <v>1003</v>
      </c>
      <c r="AB381" s="174" t="s">
        <v>1004</v>
      </c>
      <c r="AC381" s="174" t="s">
        <v>1449</v>
      </c>
      <c r="AD381" s="174" t="s">
        <v>2592</v>
      </c>
      <c r="AE381" s="242">
        <v>400.30196000000001</v>
      </c>
      <c r="AF381" s="175">
        <v>16.339469999999999</v>
      </c>
      <c r="AG381" s="174">
        <v>80.561509999999998</v>
      </c>
      <c r="AH381" s="175">
        <v>6542.2302099999997</v>
      </c>
      <c r="AI381" s="174" t="s">
        <v>1727</v>
      </c>
      <c r="AJ381" s="174" t="s">
        <v>767</v>
      </c>
      <c r="AK381" s="174" t="str">
        <f t="shared" si="51"/>
        <v>MB</v>
      </c>
    </row>
    <row r="382" spans="26:37" ht="14.4" x14ac:dyDescent="0.3">
      <c r="Z382" s="173" t="s">
        <v>473</v>
      </c>
      <c r="AA382" s="175" t="s">
        <v>2593</v>
      </c>
      <c r="AB382" s="174" t="s">
        <v>1169</v>
      </c>
      <c r="AC382" s="174" t="s">
        <v>1514</v>
      </c>
      <c r="AD382" s="174" t="s">
        <v>2594</v>
      </c>
      <c r="AE382" s="242">
        <v>316.77104000000003</v>
      </c>
      <c r="AF382" s="175">
        <v>12.929919999999999</v>
      </c>
      <c r="AG382" s="174">
        <v>63.75076</v>
      </c>
      <c r="AH382" s="175">
        <v>5026.2763999999997</v>
      </c>
      <c r="AI382" s="174" t="s">
        <v>1727</v>
      </c>
      <c r="AJ382" s="174" t="s">
        <v>767</v>
      </c>
      <c r="AK382" s="174" t="str">
        <f t="shared" si="51"/>
        <v>MB</v>
      </c>
    </row>
    <row r="383" spans="26:37" ht="14.4" x14ac:dyDescent="0.3">
      <c r="Z383" s="173" t="s">
        <v>466</v>
      </c>
      <c r="AA383" s="175" t="s">
        <v>1171</v>
      </c>
      <c r="AB383" s="174" t="s">
        <v>1564</v>
      </c>
      <c r="AC383" s="174" t="s">
        <v>1515</v>
      </c>
      <c r="AD383" s="174" t="s">
        <v>2595</v>
      </c>
      <c r="AE383" s="242">
        <v>316.77104000000003</v>
      </c>
      <c r="AF383" s="175">
        <v>12.929919999999999</v>
      </c>
      <c r="AG383" s="174">
        <v>63.75076</v>
      </c>
      <c r="AH383" s="175">
        <v>5026.2763999999997</v>
      </c>
      <c r="AI383" s="174" t="s">
        <v>1727</v>
      </c>
      <c r="AJ383" s="174" t="s">
        <v>767</v>
      </c>
      <c r="AK383" s="174" t="str">
        <f t="shared" si="51"/>
        <v>MB</v>
      </c>
    </row>
    <row r="384" spans="26:37" ht="14.4" x14ac:dyDescent="0.3">
      <c r="Z384" s="173" t="s">
        <v>457</v>
      </c>
      <c r="AA384" s="175" t="s">
        <v>2596</v>
      </c>
      <c r="AB384" s="174" t="s">
        <v>944</v>
      </c>
      <c r="AC384" s="174" t="s">
        <v>1432</v>
      </c>
      <c r="AD384" s="174" t="s">
        <v>2597</v>
      </c>
      <c r="AE384" s="242">
        <v>42.24727</v>
      </c>
      <c r="AF384" s="175">
        <v>1.72444</v>
      </c>
      <c r="AG384" s="174">
        <v>8.5023300000000006</v>
      </c>
      <c r="AH384" s="175">
        <v>690.45730000000003</v>
      </c>
      <c r="AI384" s="174" t="s">
        <v>657</v>
      </c>
      <c r="AJ384" s="174" t="s">
        <v>767</v>
      </c>
      <c r="AK384" s="174" t="str">
        <f t="shared" si="51"/>
        <v>PAR.</v>
      </c>
    </row>
    <row r="385" spans="26:37" ht="14.4" x14ac:dyDescent="0.3">
      <c r="Z385" s="173" t="s">
        <v>456</v>
      </c>
      <c r="AA385" s="175" t="s">
        <v>2598</v>
      </c>
      <c r="AB385" s="174" t="s">
        <v>897</v>
      </c>
      <c r="AC385" s="174" t="s">
        <v>1416</v>
      </c>
      <c r="AD385" s="174" t="s">
        <v>2599</v>
      </c>
      <c r="AE385" s="242">
        <v>42.24727</v>
      </c>
      <c r="AF385" s="175">
        <v>1.72444</v>
      </c>
      <c r="AG385" s="174">
        <v>8.5023300000000006</v>
      </c>
      <c r="AH385" s="175">
        <v>690.45730000000003</v>
      </c>
      <c r="AI385" s="174" t="s">
        <v>657</v>
      </c>
      <c r="AJ385" s="174" t="s">
        <v>767</v>
      </c>
      <c r="AK385" s="174" t="str">
        <f t="shared" si="51"/>
        <v>PAR.</v>
      </c>
    </row>
    <row r="386" spans="26:37" ht="14.4" x14ac:dyDescent="0.3">
      <c r="Z386" s="173" t="s">
        <v>459</v>
      </c>
      <c r="AA386" s="175" t="s">
        <v>2600</v>
      </c>
      <c r="AB386" s="174" t="s">
        <v>2601</v>
      </c>
      <c r="AC386" s="174" t="s">
        <v>1384</v>
      </c>
      <c r="AD386" s="174" t="s">
        <v>2602</v>
      </c>
      <c r="AE386" s="242">
        <v>42.24727</v>
      </c>
      <c r="AF386" s="175">
        <v>1.72444</v>
      </c>
      <c r="AG386" s="174">
        <v>8.5023300000000006</v>
      </c>
      <c r="AH386" s="175">
        <v>690.45730000000003</v>
      </c>
      <c r="AI386" s="174" t="s">
        <v>657</v>
      </c>
      <c r="AJ386" s="174" t="s">
        <v>767</v>
      </c>
      <c r="AK386" s="174" t="str">
        <f t="shared" si="51"/>
        <v>PAR.</v>
      </c>
    </row>
    <row r="387" spans="26:37" ht="14.4" x14ac:dyDescent="0.3">
      <c r="Z387" s="173" t="s">
        <v>458</v>
      </c>
      <c r="AA387" s="175" t="s">
        <v>2603</v>
      </c>
      <c r="AB387" s="174" t="s">
        <v>869</v>
      </c>
      <c r="AC387" s="174" t="s">
        <v>1405</v>
      </c>
      <c r="AD387" s="174" t="s">
        <v>2604</v>
      </c>
      <c r="AE387" s="242">
        <v>42.24727</v>
      </c>
      <c r="AF387" s="175">
        <v>1.72444</v>
      </c>
      <c r="AG387" s="174">
        <v>8.5023300000000006</v>
      </c>
      <c r="AH387" s="175">
        <v>690.45730000000003</v>
      </c>
      <c r="AI387" s="174" t="s">
        <v>657</v>
      </c>
      <c r="AJ387" s="174" t="s">
        <v>767</v>
      </c>
      <c r="AK387" s="174" t="str">
        <f t="shared" si="51"/>
        <v>PAR.</v>
      </c>
    </row>
    <row r="388" spans="26:37" ht="14.4" x14ac:dyDescent="0.3">
      <c r="Z388" s="173" t="s">
        <v>726</v>
      </c>
      <c r="AA388" s="175" t="s">
        <v>2605</v>
      </c>
      <c r="AB388" s="174" t="s">
        <v>728</v>
      </c>
      <c r="AC388" s="174" t="s">
        <v>1367</v>
      </c>
      <c r="AD388" s="174" t="s">
        <v>2606</v>
      </c>
      <c r="AE388" s="242">
        <v>45.38888</v>
      </c>
      <c r="AF388" s="175">
        <v>1.8526800000000001</v>
      </c>
      <c r="AG388" s="174">
        <v>9.1345799999999997</v>
      </c>
      <c r="AH388" s="175">
        <v>720.19510000000002</v>
      </c>
      <c r="AI388" s="174" t="s">
        <v>657</v>
      </c>
      <c r="AJ388" s="174" t="s">
        <v>630</v>
      </c>
      <c r="AK388" s="174" t="str">
        <f t="shared" si="51"/>
        <v>PAR.</v>
      </c>
    </row>
    <row r="389" spans="26:37" ht="14.4" x14ac:dyDescent="0.3">
      <c r="Z389" s="173" t="s">
        <v>730</v>
      </c>
      <c r="AA389" s="175" t="s">
        <v>2607</v>
      </c>
      <c r="AB389" s="174" t="s">
        <v>732</v>
      </c>
      <c r="AC389" s="174" t="s">
        <v>1368</v>
      </c>
      <c r="AD389" s="174" t="s">
        <v>2608</v>
      </c>
      <c r="AE389" s="242">
        <v>45.38888</v>
      </c>
      <c r="AF389" s="175">
        <v>1.8526800000000001</v>
      </c>
      <c r="AG389" s="174">
        <v>9.1345799999999997</v>
      </c>
      <c r="AH389" s="175">
        <v>720.19510000000002</v>
      </c>
      <c r="AI389" s="174" t="s">
        <v>657</v>
      </c>
      <c r="AJ389" s="174" t="s">
        <v>630</v>
      </c>
      <c r="AK389" s="174" t="str">
        <f t="shared" si="51"/>
        <v>PAR.</v>
      </c>
    </row>
    <row r="390" spans="26:37" ht="14.4" x14ac:dyDescent="0.3">
      <c r="Z390" s="173" t="s">
        <v>734</v>
      </c>
      <c r="AA390" s="175" t="s">
        <v>2609</v>
      </c>
      <c r="AB390" s="174" t="s">
        <v>2610</v>
      </c>
      <c r="AC390" s="174" t="s">
        <v>1369</v>
      </c>
      <c r="AD390" s="174" t="s">
        <v>2090</v>
      </c>
      <c r="AE390" s="242">
        <v>45.38888</v>
      </c>
      <c r="AF390" s="175">
        <v>1.8526800000000001</v>
      </c>
      <c r="AG390" s="174">
        <v>9.1345799999999997</v>
      </c>
      <c r="AH390" s="175">
        <v>741.80094999999994</v>
      </c>
      <c r="AI390" s="174" t="s">
        <v>657</v>
      </c>
      <c r="AJ390" s="174" t="s">
        <v>1924</v>
      </c>
      <c r="AK390" s="174" t="str">
        <f t="shared" si="51"/>
        <v>PAR.</v>
      </c>
    </row>
    <row r="391" spans="26:37" ht="14.4" x14ac:dyDescent="0.3">
      <c r="Z391" s="173" t="s">
        <v>737</v>
      </c>
      <c r="AA391" s="175" t="s">
        <v>2611</v>
      </c>
      <c r="AB391" s="174" t="s">
        <v>739</v>
      </c>
      <c r="AC391" s="174" t="s">
        <v>1370</v>
      </c>
      <c r="AD391" s="174" t="s">
        <v>2612</v>
      </c>
      <c r="AE391" s="242">
        <v>45.38888</v>
      </c>
      <c r="AF391" s="175">
        <v>1.8526800000000001</v>
      </c>
      <c r="AG391" s="174">
        <v>9.1345799999999997</v>
      </c>
      <c r="AH391" s="175">
        <v>720.19510000000002</v>
      </c>
      <c r="AI391" s="174" t="s">
        <v>657</v>
      </c>
      <c r="AJ391" s="174" t="s">
        <v>630</v>
      </c>
      <c r="AK391" s="174" t="str">
        <f t="shared" si="51"/>
        <v>PAR.</v>
      </c>
    </row>
    <row r="392" spans="26:37" ht="14.4" x14ac:dyDescent="0.3">
      <c r="Z392" s="173" t="s">
        <v>461</v>
      </c>
      <c r="AA392" s="175" t="s">
        <v>2613</v>
      </c>
      <c r="AB392" s="174" t="s">
        <v>1173</v>
      </c>
      <c r="AC392" s="174" t="s">
        <v>1516</v>
      </c>
      <c r="AD392" s="174" t="s">
        <v>2614</v>
      </c>
      <c r="AE392" s="242">
        <v>754.89422999999999</v>
      </c>
      <c r="AF392" s="175">
        <v>30.813189999999999</v>
      </c>
      <c r="AG392" s="174">
        <v>151.92384000000001</v>
      </c>
      <c r="AH392" s="175">
        <v>11978.07393</v>
      </c>
      <c r="AI392" s="174" t="s">
        <v>1727</v>
      </c>
      <c r="AJ392" s="174" t="s">
        <v>630</v>
      </c>
      <c r="AK392" s="174" t="str">
        <f t="shared" si="51"/>
        <v>MB</v>
      </c>
    </row>
    <row r="393" spans="26:37" ht="14.4" x14ac:dyDescent="0.3">
      <c r="Z393" s="173" t="s">
        <v>446</v>
      </c>
      <c r="AA393" s="175" t="s">
        <v>2615</v>
      </c>
      <c r="AB393" s="174" t="s">
        <v>1176</v>
      </c>
      <c r="AC393" s="174" t="s">
        <v>1517</v>
      </c>
      <c r="AD393" s="174" t="s">
        <v>2616</v>
      </c>
      <c r="AE393" s="242">
        <v>32.753509999999999</v>
      </c>
      <c r="AF393" s="175">
        <v>1.33694</v>
      </c>
      <c r="AG393" s="174">
        <v>6.5917000000000003</v>
      </c>
      <c r="AH393" s="175">
        <v>519.70703000000003</v>
      </c>
      <c r="AI393" s="174" t="s">
        <v>657</v>
      </c>
      <c r="AJ393" s="174" t="s">
        <v>630</v>
      </c>
      <c r="AK393" s="174" t="str">
        <f t="shared" si="51"/>
        <v>PAR.</v>
      </c>
    </row>
    <row r="394" spans="26:37" ht="14.4" x14ac:dyDescent="0.3">
      <c r="Z394" s="173" t="s">
        <v>460</v>
      </c>
      <c r="AA394" s="175" t="s">
        <v>2617</v>
      </c>
      <c r="AB394" s="174" t="s">
        <v>964</v>
      </c>
      <c r="AC394" s="174" t="s">
        <v>1440</v>
      </c>
      <c r="AD394" s="174" t="s">
        <v>2618</v>
      </c>
      <c r="AE394" s="242">
        <v>822.64931000000001</v>
      </c>
      <c r="AF394" s="175">
        <v>33.578800000000001</v>
      </c>
      <c r="AG394" s="174">
        <v>165.55967000000001</v>
      </c>
      <c r="AH394" s="175">
        <v>13444.753360000001</v>
      </c>
      <c r="AI394" s="174" t="s">
        <v>1727</v>
      </c>
      <c r="AJ394" s="174" t="s">
        <v>767</v>
      </c>
      <c r="AK394" s="174" t="str">
        <f t="shared" si="51"/>
        <v>MB</v>
      </c>
    </row>
    <row r="395" spans="26:37" ht="14.4" x14ac:dyDescent="0.3">
      <c r="Z395" s="173" t="s">
        <v>462</v>
      </c>
      <c r="AA395" s="175" t="s">
        <v>2619</v>
      </c>
      <c r="AB395" s="174" t="s">
        <v>965</v>
      </c>
      <c r="AC395" s="174" t="s">
        <v>1441</v>
      </c>
      <c r="AD395" s="174" t="s">
        <v>2620</v>
      </c>
      <c r="AE395" s="242">
        <v>1115.81131</v>
      </c>
      <c r="AF395" s="175">
        <v>45.54504</v>
      </c>
      <c r="AG395" s="174">
        <v>224.55905000000001</v>
      </c>
      <c r="AH395" s="175">
        <v>18235.969939999999</v>
      </c>
      <c r="AI395" s="174" t="s">
        <v>1727</v>
      </c>
      <c r="AJ395" s="174" t="s">
        <v>767</v>
      </c>
      <c r="AK395" s="174" t="str">
        <f t="shared" si="51"/>
        <v>MB</v>
      </c>
    </row>
    <row r="396" spans="26:37" ht="14.4" x14ac:dyDescent="0.3">
      <c r="Z396" s="173" t="s">
        <v>447</v>
      </c>
      <c r="AA396" s="175" t="s">
        <v>2621</v>
      </c>
      <c r="AB396" s="174" t="s">
        <v>2622</v>
      </c>
      <c r="AC396" s="174" t="s">
        <v>1442</v>
      </c>
      <c r="AD396" s="174" t="s">
        <v>2623</v>
      </c>
      <c r="AE396" s="242">
        <v>48.376609999999999</v>
      </c>
      <c r="AF396" s="175">
        <v>1.97462</v>
      </c>
      <c r="AG396" s="174">
        <v>9.7358899999999995</v>
      </c>
      <c r="AH396" s="175">
        <v>790.63076000000001</v>
      </c>
      <c r="AI396" s="174" t="s">
        <v>657</v>
      </c>
      <c r="AJ396" s="174" t="s">
        <v>767</v>
      </c>
      <c r="AK396" s="174" t="str">
        <f t="shared" si="51"/>
        <v>PAR.</v>
      </c>
    </row>
    <row r="397" spans="26:37" ht="14.4" x14ac:dyDescent="0.3">
      <c r="Z397" s="173" t="s">
        <v>471</v>
      </c>
      <c r="AA397" s="175" t="s">
        <v>2624</v>
      </c>
      <c r="AB397" s="174" t="s">
        <v>1037</v>
      </c>
      <c r="AC397" s="174" t="s">
        <v>1458</v>
      </c>
      <c r="AD397" s="174" t="s">
        <v>2625</v>
      </c>
      <c r="AE397" s="242">
        <v>888.85438999999997</v>
      </c>
      <c r="AF397" s="175">
        <v>36.281149999999997</v>
      </c>
      <c r="AG397" s="174">
        <v>178.88355999999999</v>
      </c>
      <c r="AH397" s="175">
        <v>14526.7588</v>
      </c>
      <c r="AI397" s="174" t="s">
        <v>1727</v>
      </c>
      <c r="AJ397" s="174" t="s">
        <v>767</v>
      </c>
      <c r="AK397" s="174" t="str">
        <f t="shared" si="51"/>
        <v>MB</v>
      </c>
    </row>
    <row r="398" spans="26:37" ht="14.4" x14ac:dyDescent="0.3">
      <c r="Z398" s="173" t="s">
        <v>510</v>
      </c>
      <c r="AA398" s="175" t="s">
        <v>2626</v>
      </c>
      <c r="AB398" s="174" t="s">
        <v>1111</v>
      </c>
      <c r="AC398" s="174" t="s">
        <v>1490</v>
      </c>
      <c r="AD398" s="174" t="s">
        <v>2627</v>
      </c>
      <c r="AE398" s="242">
        <v>130.95815999999999</v>
      </c>
      <c r="AF398" s="175">
        <v>5.34544</v>
      </c>
      <c r="AG398" s="174">
        <v>26.355560000000001</v>
      </c>
      <c r="AH398" s="175">
        <v>2140.2805499999999</v>
      </c>
      <c r="AI398" s="174" t="s">
        <v>1727</v>
      </c>
      <c r="AJ398" s="174" t="s">
        <v>767</v>
      </c>
      <c r="AK398" s="174" t="str">
        <f t="shared" si="51"/>
        <v>MB</v>
      </c>
    </row>
    <row r="399" spans="26:37" ht="14.4" x14ac:dyDescent="0.3">
      <c r="Z399" s="173" t="s">
        <v>508</v>
      </c>
      <c r="AA399" s="175" t="s">
        <v>2628</v>
      </c>
      <c r="AB399" s="174" t="s">
        <v>1113</v>
      </c>
      <c r="AC399" s="174" t="s">
        <v>1491</v>
      </c>
      <c r="AD399" s="174" t="s">
        <v>2629</v>
      </c>
      <c r="AE399" s="242">
        <v>130.95815999999999</v>
      </c>
      <c r="AF399" s="175">
        <v>5.34544</v>
      </c>
      <c r="AG399" s="174">
        <v>26.355560000000001</v>
      </c>
      <c r="AH399" s="175">
        <v>2140.2805499999999</v>
      </c>
      <c r="AI399" s="174" t="s">
        <v>1727</v>
      </c>
      <c r="AJ399" s="174" t="s">
        <v>767</v>
      </c>
      <c r="AK399" s="174" t="str">
        <f t="shared" si="51"/>
        <v>MB</v>
      </c>
    </row>
    <row r="400" spans="26:37" ht="14.4" x14ac:dyDescent="0.3">
      <c r="Z400" s="173" t="s">
        <v>513</v>
      </c>
      <c r="AA400" s="175" t="s">
        <v>2630</v>
      </c>
      <c r="AB400" s="174" t="s">
        <v>2631</v>
      </c>
      <c r="AC400" s="174" t="s">
        <v>1492</v>
      </c>
      <c r="AD400" s="174" t="s">
        <v>2632</v>
      </c>
      <c r="AE400" s="242">
        <v>130.95815999999999</v>
      </c>
      <c r="AF400" s="175">
        <v>5.34544</v>
      </c>
      <c r="AG400" s="174">
        <v>26.355560000000001</v>
      </c>
      <c r="AH400" s="175">
        <v>2140.2805499999999</v>
      </c>
      <c r="AI400" s="174" t="s">
        <v>1727</v>
      </c>
      <c r="AJ400" s="174" t="s">
        <v>767</v>
      </c>
      <c r="AK400" s="174" t="str">
        <f t="shared" si="51"/>
        <v>MB</v>
      </c>
    </row>
    <row r="401" spans="26:37" ht="14.4" x14ac:dyDescent="0.3">
      <c r="Z401" s="173" t="s">
        <v>511</v>
      </c>
      <c r="AA401" s="175" t="s">
        <v>2633</v>
      </c>
      <c r="AB401" s="174" t="s">
        <v>1117</v>
      </c>
      <c r="AC401" s="174" t="s">
        <v>1493</v>
      </c>
      <c r="AD401" s="174" t="s">
        <v>2634</v>
      </c>
      <c r="AE401" s="242">
        <v>221.44242</v>
      </c>
      <c r="AF401" s="175">
        <v>9.0388199999999994</v>
      </c>
      <c r="AG401" s="174">
        <v>44.565689999999996</v>
      </c>
      <c r="AH401" s="175">
        <v>3619.0863100000001</v>
      </c>
      <c r="AI401" s="174" t="s">
        <v>1727</v>
      </c>
      <c r="AJ401" s="174" t="s">
        <v>767</v>
      </c>
      <c r="AK401" s="174" t="str">
        <f t="shared" si="51"/>
        <v>MB</v>
      </c>
    </row>
    <row r="402" spans="26:37" ht="14.4" x14ac:dyDescent="0.3">
      <c r="Z402" s="376" t="s">
        <v>507</v>
      </c>
      <c r="AA402" s="175" t="e">
        <v>#N/A</v>
      </c>
      <c r="AB402" s="174" t="e">
        <v>#N/A</v>
      </c>
      <c r="AC402" s="174" t="e">
        <v>#N/A</v>
      </c>
      <c r="AD402" s="174" t="e">
        <v>#N/A</v>
      </c>
      <c r="AE402" s="242" t="e">
        <v>#N/A</v>
      </c>
      <c r="AF402" s="175" t="e">
        <v>#N/A</v>
      </c>
      <c r="AG402" s="174" t="e">
        <v>#N/A</v>
      </c>
      <c r="AH402" s="175" t="e">
        <v>#N/A</v>
      </c>
      <c r="AI402" s="174" t="e">
        <v>#N/A</v>
      </c>
      <c r="AJ402" s="174" t="e">
        <v>#N/A</v>
      </c>
      <c r="AK402" s="174" t="e">
        <f t="shared" si="51"/>
        <v>#N/A</v>
      </c>
    </row>
    <row r="403" spans="26:37" ht="14.4" x14ac:dyDescent="0.3">
      <c r="Z403" s="173" t="s">
        <v>512</v>
      </c>
      <c r="AA403" s="175" t="s">
        <v>1122</v>
      </c>
      <c r="AB403" s="174" t="s">
        <v>1123</v>
      </c>
      <c r="AC403" s="174" t="s">
        <v>1495</v>
      </c>
      <c r="AD403" s="174" t="s">
        <v>2635</v>
      </c>
      <c r="AE403" s="242" t="e">
        <v>#N/A</v>
      </c>
      <c r="AF403" s="175" t="e">
        <v>#N/A</v>
      </c>
      <c r="AG403" s="174" t="e">
        <v>#N/A</v>
      </c>
      <c r="AH403" s="175" t="e">
        <v>#N/A</v>
      </c>
      <c r="AI403" s="174" t="s">
        <v>1727</v>
      </c>
      <c r="AJ403" s="174" t="s">
        <v>630</v>
      </c>
      <c r="AK403" s="174" t="str">
        <f t="shared" si="51"/>
        <v>MB</v>
      </c>
    </row>
    <row r="404" spans="26:37" ht="14.4" x14ac:dyDescent="0.3">
      <c r="Z404" s="173" t="s">
        <v>514</v>
      </c>
      <c r="AA404" s="175" t="e">
        <v>#N/A</v>
      </c>
      <c r="AB404" s="174" t="e">
        <v>#N/A</v>
      </c>
      <c r="AC404" s="174" t="e">
        <v>#N/A</v>
      </c>
      <c r="AD404" s="174" t="e">
        <v>#N/A</v>
      </c>
      <c r="AE404" s="242" t="e">
        <v>#N/A</v>
      </c>
      <c r="AF404" s="175" t="e">
        <v>#N/A</v>
      </c>
      <c r="AG404" s="174" t="e">
        <v>#N/A</v>
      </c>
      <c r="AH404" s="175" t="e">
        <v>#N/A</v>
      </c>
      <c r="AI404" s="174" t="e">
        <v>#N/A</v>
      </c>
      <c r="AJ404" s="174" t="e">
        <v>#N/A</v>
      </c>
      <c r="AK404" s="174" t="e">
        <f t="shared" si="51"/>
        <v>#N/A</v>
      </c>
    </row>
    <row r="405" spans="26:37" ht="14.4" x14ac:dyDescent="0.3">
      <c r="Z405" s="173" t="s">
        <v>509</v>
      </c>
      <c r="AA405" s="175" t="e">
        <v>#N/A</v>
      </c>
      <c r="AB405" s="174" t="e">
        <v>#N/A</v>
      </c>
      <c r="AC405" s="174" t="e">
        <v>#N/A</v>
      </c>
      <c r="AD405" s="174" t="e">
        <v>#N/A</v>
      </c>
      <c r="AE405" s="242" t="e">
        <v>#N/A</v>
      </c>
      <c r="AF405" s="175" t="e">
        <v>#N/A</v>
      </c>
      <c r="AG405" s="174" t="e">
        <v>#N/A</v>
      </c>
      <c r="AH405" s="175" t="e">
        <v>#N/A</v>
      </c>
      <c r="AI405" s="174" t="e">
        <v>#N/A</v>
      </c>
      <c r="AJ405" s="174" t="e">
        <v>#N/A</v>
      </c>
      <c r="AK405" s="174" t="e">
        <f t="shared" si="51"/>
        <v>#N/A</v>
      </c>
    </row>
    <row r="406" spans="26:37" ht="14.4" x14ac:dyDescent="0.3">
      <c r="Z406" s="173" t="s">
        <v>470</v>
      </c>
      <c r="AA406" s="175" t="s">
        <v>2636</v>
      </c>
      <c r="AB406" s="174" t="s">
        <v>2637</v>
      </c>
      <c r="AC406" s="174" t="s">
        <v>1506</v>
      </c>
      <c r="AD406" s="174" t="s">
        <v>2638</v>
      </c>
      <c r="AE406" s="242" t="e">
        <v>#N/A</v>
      </c>
      <c r="AF406" s="175" t="e">
        <v>#N/A</v>
      </c>
      <c r="AG406" s="174" t="e">
        <v>#N/A</v>
      </c>
      <c r="AH406" s="175" t="e">
        <v>#N/A</v>
      </c>
      <c r="AI406" s="174" t="s">
        <v>1727</v>
      </c>
      <c r="AJ406" s="174" t="s">
        <v>767</v>
      </c>
      <c r="AK406" s="174" t="str">
        <f t="shared" si="51"/>
        <v>MB</v>
      </c>
    </row>
    <row r="407" spans="26:37" ht="14.4" x14ac:dyDescent="0.3">
      <c r="Z407" s="173" t="s">
        <v>450</v>
      </c>
      <c r="AA407" s="175" t="s">
        <v>2639</v>
      </c>
      <c r="AB407" s="174" t="s">
        <v>1146</v>
      </c>
      <c r="AC407" s="174" t="s">
        <v>1504</v>
      </c>
      <c r="AD407" s="174" t="s">
        <v>2640</v>
      </c>
      <c r="AE407" s="242">
        <v>64.641390000000001</v>
      </c>
      <c r="AF407" s="175">
        <v>2.6385299999999998</v>
      </c>
      <c r="AG407" s="174">
        <v>13.00919</v>
      </c>
      <c r="AH407" s="175">
        <v>1056.44956</v>
      </c>
      <c r="AI407" s="174" t="s">
        <v>657</v>
      </c>
      <c r="AJ407" s="174" t="s">
        <v>767</v>
      </c>
      <c r="AK407" s="174" t="str">
        <f t="shared" si="51"/>
        <v>PAR.</v>
      </c>
    </row>
    <row r="408" spans="26:37" ht="14.4" x14ac:dyDescent="0.3">
      <c r="Z408" s="173" t="s">
        <v>449</v>
      </c>
      <c r="AA408" s="175" t="s">
        <v>2641</v>
      </c>
      <c r="AB408" s="174" t="s">
        <v>2642</v>
      </c>
      <c r="AC408" s="174" t="s">
        <v>1505</v>
      </c>
      <c r="AD408" s="174" t="s">
        <v>2643</v>
      </c>
      <c r="AE408" s="242">
        <v>64.641390000000001</v>
      </c>
      <c r="AF408" s="175">
        <v>2.6385299999999998</v>
      </c>
      <c r="AG408" s="174">
        <v>13.00919</v>
      </c>
      <c r="AH408" s="175">
        <v>1056.44956</v>
      </c>
      <c r="AI408" s="174" t="s">
        <v>657</v>
      </c>
      <c r="AJ408" s="174" t="s">
        <v>767</v>
      </c>
      <c r="AK408" s="174" t="str">
        <f t="shared" si="51"/>
        <v>PAR.</v>
      </c>
    </row>
    <row r="409" spans="26:37" ht="14.4" x14ac:dyDescent="0.3">
      <c r="Z409" s="173" t="s">
        <v>448</v>
      </c>
      <c r="AA409" s="175" t="e">
        <v>#N/A</v>
      </c>
      <c r="AB409" s="174" t="e">
        <v>#N/A</v>
      </c>
      <c r="AC409" s="174" t="e">
        <v>#N/A</v>
      </c>
      <c r="AD409" s="174" t="e">
        <v>#N/A</v>
      </c>
      <c r="AE409" s="242" t="e">
        <v>#N/A</v>
      </c>
      <c r="AF409" s="175" t="e">
        <v>#N/A</v>
      </c>
      <c r="AG409" s="174" t="e">
        <v>#N/A</v>
      </c>
      <c r="AH409" s="175" t="e">
        <v>#N/A</v>
      </c>
      <c r="AI409" s="174" t="e">
        <v>#N/A</v>
      </c>
      <c r="AJ409" s="174" t="e">
        <v>#N/A</v>
      </c>
      <c r="AK409" s="174" t="e">
        <f t="shared" si="51"/>
        <v>#N/A</v>
      </c>
    </row>
    <row r="410" spans="26:37" ht="14.4" x14ac:dyDescent="0.3">
      <c r="Z410" s="173" t="s">
        <v>554</v>
      </c>
      <c r="AA410" s="175" t="s">
        <v>2644</v>
      </c>
      <c r="AB410" s="174" t="s">
        <v>1858</v>
      </c>
      <c r="AC410" s="174" t="s">
        <v>1396</v>
      </c>
      <c r="AD410" s="174" t="s">
        <v>2645</v>
      </c>
      <c r="AE410" s="242">
        <v>209.5889</v>
      </c>
      <c r="AF410" s="175">
        <v>8.5549700000000009</v>
      </c>
      <c r="AG410" s="174">
        <v>42.180149999999998</v>
      </c>
      <c r="AH410" s="175">
        <v>3425.3617199999999</v>
      </c>
      <c r="AI410" s="174" t="s">
        <v>1727</v>
      </c>
      <c r="AJ410" s="174" t="s">
        <v>767</v>
      </c>
      <c r="AK410" s="174" t="str">
        <f t="shared" si="51"/>
        <v>MB</v>
      </c>
    </row>
    <row r="411" spans="26:37" ht="14.4" x14ac:dyDescent="0.3">
      <c r="Z411" s="173" t="s">
        <v>552</v>
      </c>
      <c r="AA411" s="175" t="s">
        <v>2646</v>
      </c>
      <c r="AB411" s="174" t="s">
        <v>2647</v>
      </c>
      <c r="AC411" s="174" t="s">
        <v>1397</v>
      </c>
      <c r="AD411" s="174" t="s">
        <v>2648</v>
      </c>
      <c r="AE411" s="242">
        <v>209.5889</v>
      </c>
      <c r="AF411" s="175">
        <v>8.5549700000000009</v>
      </c>
      <c r="AG411" s="174">
        <v>42.180149999999998</v>
      </c>
      <c r="AH411" s="175">
        <v>3425.3617199999999</v>
      </c>
      <c r="AI411" s="174" t="s">
        <v>1727</v>
      </c>
      <c r="AJ411" s="174" t="s">
        <v>767</v>
      </c>
      <c r="AK411" s="174" t="str">
        <f t="shared" si="51"/>
        <v>MB</v>
      </c>
    </row>
    <row r="412" spans="26:37" ht="14.4" x14ac:dyDescent="0.3">
      <c r="Z412" s="173" t="s">
        <v>551</v>
      </c>
      <c r="AA412" s="175" t="s">
        <v>2649</v>
      </c>
      <c r="AB412" s="174" t="s">
        <v>2650</v>
      </c>
      <c r="AC412" s="174" t="s">
        <v>1398</v>
      </c>
      <c r="AD412" s="174" t="s">
        <v>2651</v>
      </c>
      <c r="AE412" s="242">
        <v>209.5889</v>
      </c>
      <c r="AF412" s="175">
        <v>8.5549700000000009</v>
      </c>
      <c r="AG412" s="174">
        <v>42.180149999999998</v>
      </c>
      <c r="AH412" s="175">
        <v>3425.3617199999999</v>
      </c>
      <c r="AI412" s="174" t="s">
        <v>1727</v>
      </c>
      <c r="AJ412" s="174" t="s">
        <v>767</v>
      </c>
      <c r="AK412" s="174" t="str">
        <f t="shared" si="51"/>
        <v>MB</v>
      </c>
    </row>
    <row r="413" spans="26:37" ht="14.4" x14ac:dyDescent="0.3">
      <c r="Z413" s="173" t="s">
        <v>553</v>
      </c>
      <c r="AA413" s="175" t="s">
        <v>2652</v>
      </c>
      <c r="AB413" s="174" t="s">
        <v>2653</v>
      </c>
      <c r="AC413" s="174" t="s">
        <v>1399</v>
      </c>
      <c r="AD413" s="174" t="s">
        <v>2654</v>
      </c>
      <c r="AE413" s="242">
        <v>293.14830999999998</v>
      </c>
      <c r="AF413" s="175">
        <v>11.96569</v>
      </c>
      <c r="AG413" s="174">
        <v>58.996630000000003</v>
      </c>
      <c r="AH413" s="175">
        <v>4790.9924700000001</v>
      </c>
      <c r="AI413" s="174" t="s">
        <v>1727</v>
      </c>
      <c r="AJ413" s="174" t="s">
        <v>767</v>
      </c>
      <c r="AK413" s="174" t="str">
        <f t="shared" si="51"/>
        <v>MB</v>
      </c>
    </row>
    <row r="414" spans="26:37" ht="14.4" x14ac:dyDescent="0.3">
      <c r="Z414" s="173" t="s">
        <v>557</v>
      </c>
      <c r="AA414" s="175" t="s">
        <v>2655</v>
      </c>
      <c r="AB414" s="174" t="s">
        <v>2656</v>
      </c>
      <c r="AC414" s="174" t="s">
        <v>1512</v>
      </c>
      <c r="AD414" s="174" t="s">
        <v>2657</v>
      </c>
      <c r="AE414" s="242">
        <v>293.14830999999998</v>
      </c>
      <c r="AF414" s="175">
        <v>11.96569</v>
      </c>
      <c r="AG414" s="174">
        <v>58.996630000000003</v>
      </c>
      <c r="AH414" s="175">
        <v>4790.9924700000001</v>
      </c>
      <c r="AI414" s="174" t="s">
        <v>1727</v>
      </c>
      <c r="AJ414" s="174" t="s">
        <v>767</v>
      </c>
      <c r="AK414" s="174" t="str">
        <f t="shared" si="51"/>
        <v>MB</v>
      </c>
    </row>
    <row r="415" spans="26:37" ht="14.4" x14ac:dyDescent="0.3">
      <c r="Z415" s="173" t="s">
        <v>555</v>
      </c>
      <c r="AA415" s="175" t="s">
        <v>2658</v>
      </c>
      <c r="AB415" s="174" t="s">
        <v>973</v>
      </c>
      <c r="AC415" s="174" t="s">
        <v>1444</v>
      </c>
      <c r="AD415" s="174" t="s">
        <v>2659</v>
      </c>
      <c r="AE415" s="242" t="e">
        <v>#N/A</v>
      </c>
      <c r="AF415" s="175" t="e">
        <v>#N/A</v>
      </c>
      <c r="AG415" s="174" t="e">
        <v>#N/A</v>
      </c>
      <c r="AH415" s="175" t="e">
        <v>#N/A</v>
      </c>
      <c r="AI415" s="174" t="s">
        <v>1727</v>
      </c>
      <c r="AJ415" s="174" t="s">
        <v>767</v>
      </c>
      <c r="AK415" s="174" t="str">
        <f t="shared" si="51"/>
        <v>MB</v>
      </c>
    </row>
    <row r="416" spans="26:37" ht="14.4" x14ac:dyDescent="0.3">
      <c r="Z416" s="376" t="s">
        <v>556</v>
      </c>
      <c r="AA416" s="175" t="s">
        <v>2121</v>
      </c>
      <c r="AB416" s="174" t="s">
        <v>786</v>
      </c>
      <c r="AC416" s="174" t="s">
        <v>2123</v>
      </c>
      <c r="AD416" s="174" t="s">
        <v>2660</v>
      </c>
      <c r="AE416" s="242" t="e">
        <v>#N/A</v>
      </c>
      <c r="AF416" s="175" t="e">
        <v>#N/A</v>
      </c>
      <c r="AG416" s="174" t="e">
        <v>#N/A</v>
      </c>
      <c r="AH416" s="175" t="e">
        <v>#N/A</v>
      </c>
      <c r="AI416" s="174" t="s">
        <v>1727</v>
      </c>
      <c r="AJ416" s="174" t="s">
        <v>767</v>
      </c>
      <c r="AK416" s="174" t="str">
        <f t="shared" si="51"/>
        <v>MB</v>
      </c>
    </row>
    <row r="417" spans="26:37" ht="14.4" x14ac:dyDescent="0.3">
      <c r="Z417" s="173" t="s">
        <v>452</v>
      </c>
      <c r="AA417" s="175" t="s">
        <v>2661</v>
      </c>
      <c r="AB417" s="174" t="s">
        <v>788</v>
      </c>
      <c r="AC417" s="174" t="s">
        <v>1378</v>
      </c>
      <c r="AD417" s="174" t="s">
        <v>2662</v>
      </c>
      <c r="AE417" s="242" t="e">
        <v>#N/A</v>
      </c>
      <c r="AF417" s="175" t="e">
        <v>#N/A</v>
      </c>
      <c r="AG417" s="174" t="e">
        <v>#N/A</v>
      </c>
      <c r="AH417" s="175" t="e">
        <v>#N/A</v>
      </c>
      <c r="AI417" s="174" t="s">
        <v>657</v>
      </c>
      <c r="AJ417" s="174" t="s">
        <v>630</v>
      </c>
      <c r="AK417" s="174" t="str">
        <f t="shared" si="51"/>
        <v>PAR.</v>
      </c>
    </row>
    <row r="418" spans="26:37" ht="14.4" x14ac:dyDescent="0.3">
      <c r="Z418" s="173" t="s">
        <v>482</v>
      </c>
      <c r="AA418" s="175" t="s">
        <v>1017</v>
      </c>
      <c r="AB418" s="174" t="s">
        <v>1018</v>
      </c>
      <c r="AC418" s="174" t="s">
        <v>1451</v>
      </c>
      <c r="AD418" s="174" t="s">
        <v>2663</v>
      </c>
      <c r="AE418" s="242">
        <v>226.929</v>
      </c>
      <c r="AF418" s="175">
        <v>9.2627699999999997</v>
      </c>
      <c r="AG418" s="174">
        <v>45.669879999999999</v>
      </c>
      <c r="AH418" s="175">
        <v>3708.7543999999998</v>
      </c>
      <c r="AI418" s="174" t="s">
        <v>1727</v>
      </c>
      <c r="AJ418" s="174" t="s">
        <v>767</v>
      </c>
      <c r="AK418" s="174" t="str">
        <f t="shared" si="51"/>
        <v>MB</v>
      </c>
    </row>
    <row r="419" spans="26:37" ht="14.4" x14ac:dyDescent="0.3">
      <c r="Z419" s="173" t="s">
        <v>478</v>
      </c>
      <c r="AA419" s="175" t="s">
        <v>1020</v>
      </c>
      <c r="AB419" s="174" t="s">
        <v>1021</v>
      </c>
      <c r="AC419" s="174" t="s">
        <v>1452</v>
      </c>
      <c r="AD419" s="174" t="s">
        <v>2664</v>
      </c>
      <c r="AE419" s="242">
        <v>226.929</v>
      </c>
      <c r="AF419" s="175">
        <v>9.2627699999999997</v>
      </c>
      <c r="AG419" s="174">
        <v>45.669879999999999</v>
      </c>
      <c r="AH419" s="175">
        <v>3708.7543999999998</v>
      </c>
      <c r="AI419" s="174" t="s">
        <v>1727</v>
      </c>
      <c r="AJ419" s="174" t="s">
        <v>767</v>
      </c>
      <c r="AK419" s="174" t="str">
        <f t="shared" si="51"/>
        <v>MB</v>
      </c>
    </row>
    <row r="420" spans="26:37" ht="14.4" x14ac:dyDescent="0.3">
      <c r="Z420" s="173" t="s">
        <v>486</v>
      </c>
      <c r="AA420" s="175" t="s">
        <v>1022</v>
      </c>
      <c r="AB420" s="174" t="s">
        <v>2665</v>
      </c>
      <c r="AC420" s="174" t="s">
        <v>1453</v>
      </c>
      <c r="AD420" s="174" t="s">
        <v>2666</v>
      </c>
      <c r="AE420" s="242">
        <v>226.929</v>
      </c>
      <c r="AF420" s="175">
        <v>9.2627699999999997</v>
      </c>
      <c r="AG420" s="174">
        <v>45.669879999999999</v>
      </c>
      <c r="AH420" s="175">
        <v>3708.7543999999998</v>
      </c>
      <c r="AI420" s="174" t="s">
        <v>1727</v>
      </c>
      <c r="AJ420" s="174" t="s">
        <v>767</v>
      </c>
      <c r="AK420" s="174" t="str">
        <f t="shared" si="51"/>
        <v>MB</v>
      </c>
    </row>
    <row r="421" spans="26:37" ht="14.4" x14ac:dyDescent="0.3">
      <c r="Z421" s="173" t="s">
        <v>483</v>
      </c>
      <c r="AA421" s="175" t="s">
        <v>930</v>
      </c>
      <c r="AB421" s="174" t="s">
        <v>931</v>
      </c>
      <c r="AC421" s="174" t="s">
        <v>1427</v>
      </c>
      <c r="AD421" s="174" t="s">
        <v>2667</v>
      </c>
      <c r="AE421" s="242">
        <v>307.31887999999998</v>
      </c>
      <c r="AF421" s="175">
        <v>12.5441</v>
      </c>
      <c r="AG421" s="174">
        <v>61.848480000000002</v>
      </c>
      <c r="AH421" s="175">
        <v>5022.5858099999996</v>
      </c>
      <c r="AI421" s="174" t="s">
        <v>1727</v>
      </c>
      <c r="AJ421" s="174" t="s">
        <v>767</v>
      </c>
      <c r="AK421" s="174" t="str">
        <f t="shared" si="51"/>
        <v>MB</v>
      </c>
    </row>
    <row r="422" spans="26:37" ht="14.4" x14ac:dyDescent="0.3">
      <c r="Z422" s="173" t="s">
        <v>480</v>
      </c>
      <c r="AA422" s="175" t="s">
        <v>1006</v>
      </c>
      <c r="AB422" s="174" t="s">
        <v>1007</v>
      </c>
      <c r="AC422" s="174" t="s">
        <v>1450</v>
      </c>
      <c r="AD422" s="174" t="s">
        <v>2668</v>
      </c>
      <c r="AE422" s="242">
        <v>307.31887999999998</v>
      </c>
      <c r="AF422" s="175">
        <v>12.5441</v>
      </c>
      <c r="AG422" s="174">
        <v>61.848480000000002</v>
      </c>
      <c r="AH422" s="175">
        <v>5022.5858099999996</v>
      </c>
      <c r="AI422" s="174" t="s">
        <v>1727</v>
      </c>
      <c r="AJ422" s="174" t="s">
        <v>767</v>
      </c>
      <c r="AK422" s="174" t="str">
        <f t="shared" si="51"/>
        <v>MB</v>
      </c>
    </row>
    <row r="423" spans="26:37" ht="14.4" x14ac:dyDescent="0.3">
      <c r="Z423" s="173" t="s">
        <v>484</v>
      </c>
      <c r="AA423" s="175" t="s">
        <v>1025</v>
      </c>
      <c r="AB423" s="174" t="s">
        <v>1026</v>
      </c>
      <c r="AC423" s="174" t="s">
        <v>1454</v>
      </c>
      <c r="AD423" s="174" t="s">
        <v>2669</v>
      </c>
      <c r="AE423" s="242">
        <v>307.31887999999998</v>
      </c>
      <c r="AF423" s="175">
        <v>12.5441</v>
      </c>
      <c r="AG423" s="174">
        <v>61.848480000000002</v>
      </c>
      <c r="AH423" s="175">
        <v>5022.5858099999996</v>
      </c>
      <c r="AI423" s="174" t="s">
        <v>1727</v>
      </c>
      <c r="AJ423" s="174" t="s">
        <v>767</v>
      </c>
      <c r="AK423" s="174" t="str">
        <f t="shared" si="51"/>
        <v>MB</v>
      </c>
    </row>
    <row r="424" spans="26:37" ht="14.4" x14ac:dyDescent="0.3">
      <c r="Z424" s="173" t="s">
        <v>488</v>
      </c>
      <c r="AA424" s="175" t="s">
        <v>921</v>
      </c>
      <c r="AB424" s="174" t="s">
        <v>922</v>
      </c>
      <c r="AC424" s="174" t="s">
        <v>1424</v>
      </c>
      <c r="AD424" s="174" t="s">
        <v>2670</v>
      </c>
      <c r="AE424" s="242">
        <v>307.31887999999998</v>
      </c>
      <c r="AF424" s="175">
        <v>12.5441</v>
      </c>
      <c r="AG424" s="174">
        <v>61.848480000000002</v>
      </c>
      <c r="AH424" s="175">
        <v>5022.5858099999996</v>
      </c>
      <c r="AI424" s="174" t="s">
        <v>1727</v>
      </c>
      <c r="AJ424" s="174" t="s">
        <v>767</v>
      </c>
      <c r="AK424" s="174" t="str">
        <f t="shared" si="51"/>
        <v>MB</v>
      </c>
    </row>
    <row r="425" spans="26:37" ht="14.4" x14ac:dyDescent="0.3">
      <c r="Z425" s="173" t="s">
        <v>479</v>
      </c>
      <c r="AA425" s="175" t="s">
        <v>1028</v>
      </c>
      <c r="AB425" s="174" t="s">
        <v>1029</v>
      </c>
      <c r="AC425" s="174" t="s">
        <v>1455</v>
      </c>
      <c r="AD425" s="174" t="s">
        <v>2671</v>
      </c>
      <c r="AE425" s="242">
        <v>307.31887999999998</v>
      </c>
      <c r="AF425" s="175">
        <v>12.5441</v>
      </c>
      <c r="AG425" s="174">
        <v>61.848480000000002</v>
      </c>
      <c r="AH425" s="175">
        <v>5022.5858099999996</v>
      </c>
      <c r="AI425" s="174" t="s">
        <v>1727</v>
      </c>
      <c r="AJ425" s="174" t="s">
        <v>767</v>
      </c>
      <c r="AK425" s="174" t="str">
        <f t="shared" si="51"/>
        <v>MB</v>
      </c>
    </row>
    <row r="426" spans="26:37" ht="14.4" x14ac:dyDescent="0.3">
      <c r="Z426" s="173" t="s">
        <v>487</v>
      </c>
      <c r="AA426" s="175" t="s">
        <v>2672</v>
      </c>
      <c r="AB426" s="174" t="s">
        <v>825</v>
      </c>
      <c r="AC426" s="174" t="s">
        <v>1388</v>
      </c>
      <c r="AD426" s="174" t="s">
        <v>2673</v>
      </c>
      <c r="AE426" s="242">
        <v>243.19434000000001</v>
      </c>
      <c r="AF426" s="175">
        <v>9.9266799999999993</v>
      </c>
      <c r="AG426" s="174">
        <v>48.943300000000001</v>
      </c>
      <c r="AH426" s="175">
        <v>3858.8182200000001</v>
      </c>
      <c r="AI426" s="174" t="s">
        <v>1727</v>
      </c>
      <c r="AJ426" s="174" t="s">
        <v>767</v>
      </c>
      <c r="AK426" s="174" t="str">
        <f t="shared" si="51"/>
        <v>MB</v>
      </c>
    </row>
    <row r="427" spans="26:37" ht="14.4" x14ac:dyDescent="0.3">
      <c r="Z427" s="173" t="s">
        <v>481</v>
      </c>
      <c r="AA427" s="175" t="s">
        <v>827</v>
      </c>
      <c r="AB427" s="174" t="s">
        <v>828</v>
      </c>
      <c r="AC427" s="174" t="s">
        <v>1389</v>
      </c>
      <c r="AD427" s="174" t="s">
        <v>2674</v>
      </c>
      <c r="AE427" s="242">
        <v>243.19434000000001</v>
      </c>
      <c r="AF427" s="175">
        <v>9.9266799999999993</v>
      </c>
      <c r="AG427" s="174">
        <v>48.943300000000001</v>
      </c>
      <c r="AH427" s="175">
        <v>3858.8182200000001</v>
      </c>
      <c r="AI427" s="174" t="s">
        <v>1727</v>
      </c>
      <c r="AJ427" s="174" t="s">
        <v>767</v>
      </c>
      <c r="AK427" s="174" t="str">
        <f t="shared" si="51"/>
        <v>MB</v>
      </c>
    </row>
    <row r="428" spans="26:37" ht="14.4" x14ac:dyDescent="0.3">
      <c r="Z428" s="173" t="s">
        <v>476</v>
      </c>
      <c r="AA428" s="175" t="s">
        <v>2675</v>
      </c>
      <c r="AB428" s="174" t="s">
        <v>2676</v>
      </c>
      <c r="AC428" s="174" t="s">
        <v>1509</v>
      </c>
      <c r="AD428" s="174" t="s">
        <v>2677</v>
      </c>
      <c r="AE428" s="242">
        <v>570.51966000000004</v>
      </c>
      <c r="AF428" s="175">
        <v>23.287410000000001</v>
      </c>
      <c r="AG428" s="174">
        <v>114.81813</v>
      </c>
      <c r="AH428" s="175">
        <v>9324.1385699999992</v>
      </c>
      <c r="AI428" s="174" t="s">
        <v>1727</v>
      </c>
      <c r="AJ428" s="174" t="s">
        <v>767</v>
      </c>
      <c r="AK428" s="174" t="str">
        <f t="shared" si="51"/>
        <v>MB</v>
      </c>
    </row>
    <row r="429" spans="26:37" ht="14.4" x14ac:dyDescent="0.3">
      <c r="Z429" s="173" t="s">
        <v>485</v>
      </c>
      <c r="AA429" s="175" t="s">
        <v>2678</v>
      </c>
      <c r="AB429" s="174" t="s">
        <v>1043</v>
      </c>
      <c r="AC429" s="174" t="s">
        <v>1460</v>
      </c>
      <c r="AD429" s="174" t="s">
        <v>2679</v>
      </c>
      <c r="AE429" s="242">
        <v>486.98874000000001</v>
      </c>
      <c r="AF429" s="175">
        <v>19.877839999999999</v>
      </c>
      <c r="AG429" s="174">
        <v>98.007369999999995</v>
      </c>
      <c r="AH429" s="175">
        <v>7958.97307</v>
      </c>
      <c r="AI429" s="174" t="s">
        <v>1727</v>
      </c>
      <c r="AJ429" s="174" t="s">
        <v>767</v>
      </c>
      <c r="AK429" s="174" t="str">
        <f t="shared" si="51"/>
        <v>MB</v>
      </c>
    </row>
    <row r="430" spans="26:37" ht="14.4" x14ac:dyDescent="0.3">
      <c r="Z430" s="173" t="s">
        <v>517</v>
      </c>
      <c r="AA430" s="175" t="s">
        <v>1128</v>
      </c>
      <c r="AB430" s="174" t="s">
        <v>1129</v>
      </c>
      <c r="AC430" s="174" t="s">
        <v>1497</v>
      </c>
      <c r="AD430" s="174" t="s">
        <v>2680</v>
      </c>
      <c r="AE430" s="242">
        <v>134.29524000000001</v>
      </c>
      <c r="AF430" s="175">
        <v>5.4816500000000001</v>
      </c>
      <c r="AG430" s="174">
        <v>27.027149999999999</v>
      </c>
      <c r="AH430" s="175">
        <v>2194.8185699999999</v>
      </c>
      <c r="AI430" s="174" t="s">
        <v>1727</v>
      </c>
      <c r="AJ430" s="174" t="s">
        <v>767</v>
      </c>
      <c r="AK430" s="174" t="str">
        <f t="shared" si="51"/>
        <v>MB</v>
      </c>
    </row>
    <row r="431" spans="26:37" ht="14.4" x14ac:dyDescent="0.3">
      <c r="Z431" s="173" t="s">
        <v>519</v>
      </c>
      <c r="AA431" s="175" t="s">
        <v>1130</v>
      </c>
      <c r="AB431" s="174" t="s">
        <v>1131</v>
      </c>
      <c r="AC431" s="174" t="s">
        <v>1498</v>
      </c>
      <c r="AD431" s="174" t="s">
        <v>2681</v>
      </c>
      <c r="AE431" s="242">
        <v>134.29524000000001</v>
      </c>
      <c r="AF431" s="175">
        <v>5.4816500000000001</v>
      </c>
      <c r="AG431" s="174">
        <v>27.027149999999999</v>
      </c>
      <c r="AH431" s="175">
        <v>2194.8185699999999</v>
      </c>
      <c r="AI431" s="174" t="s">
        <v>1727</v>
      </c>
      <c r="AJ431" s="174" t="s">
        <v>767</v>
      </c>
      <c r="AK431" s="174" t="str">
        <f t="shared" si="51"/>
        <v>MB</v>
      </c>
    </row>
    <row r="432" spans="26:37" ht="14.4" x14ac:dyDescent="0.3">
      <c r="Z432" s="173" t="s">
        <v>518</v>
      </c>
      <c r="AA432" s="175" t="s">
        <v>1132</v>
      </c>
      <c r="AB432" s="174" t="s">
        <v>2682</v>
      </c>
      <c r="AC432" s="174" t="s">
        <v>1499</v>
      </c>
      <c r="AD432" s="174" t="s">
        <v>2683</v>
      </c>
      <c r="AE432" s="242">
        <v>134.29524000000001</v>
      </c>
      <c r="AF432" s="175">
        <v>5.4816500000000001</v>
      </c>
      <c r="AG432" s="174">
        <v>27.027149999999999</v>
      </c>
      <c r="AH432" s="175">
        <v>2194.8185699999999</v>
      </c>
      <c r="AI432" s="174" t="s">
        <v>1727</v>
      </c>
      <c r="AJ432" s="174" t="s">
        <v>767</v>
      </c>
      <c r="AK432" s="174" t="str">
        <f t="shared" si="51"/>
        <v>MB</v>
      </c>
    </row>
    <row r="433" spans="26:37" ht="14.4" x14ac:dyDescent="0.3">
      <c r="Z433" s="173" t="s">
        <v>521</v>
      </c>
      <c r="AA433" s="175" t="s">
        <v>2684</v>
      </c>
      <c r="AB433" s="174" t="s">
        <v>1706</v>
      </c>
      <c r="AC433" s="174" t="s">
        <v>1500</v>
      </c>
      <c r="AD433" s="174" t="s">
        <v>2685</v>
      </c>
      <c r="AE433" s="242">
        <v>196.24179000000001</v>
      </c>
      <c r="AF433" s="175">
        <v>8.0101800000000001</v>
      </c>
      <c r="AG433" s="174">
        <v>39.494030000000002</v>
      </c>
      <c r="AH433" s="175">
        <v>3207.2262900000001</v>
      </c>
      <c r="AI433" s="174" t="s">
        <v>1727</v>
      </c>
      <c r="AJ433" s="174" t="s">
        <v>767</v>
      </c>
      <c r="AK433" s="174" t="str">
        <f t="shared" si="51"/>
        <v>MB</v>
      </c>
    </row>
    <row r="434" spans="26:37" ht="14.4" x14ac:dyDescent="0.3">
      <c r="Z434" s="173" t="s">
        <v>520</v>
      </c>
      <c r="AA434" s="175" t="e">
        <v>#N/A</v>
      </c>
      <c r="AB434" s="174" t="e">
        <v>#N/A</v>
      </c>
      <c r="AC434" s="174" t="e">
        <v>#N/A</v>
      </c>
      <c r="AD434" s="174" t="e">
        <v>#N/A</v>
      </c>
      <c r="AE434" s="242" t="e">
        <v>#N/A</v>
      </c>
      <c r="AF434" s="175" t="e">
        <v>#N/A</v>
      </c>
      <c r="AG434" s="174" t="e">
        <v>#N/A</v>
      </c>
      <c r="AH434" s="175" t="e">
        <v>#N/A</v>
      </c>
      <c r="AI434" s="174" t="e">
        <v>#N/A</v>
      </c>
      <c r="AJ434" s="174" t="e">
        <v>#N/A</v>
      </c>
      <c r="AK434" s="174" t="e">
        <f t="shared" si="51"/>
        <v>#N/A</v>
      </c>
    </row>
    <row r="435" spans="26:37" ht="14.4" x14ac:dyDescent="0.3">
      <c r="Z435" s="376" t="s">
        <v>515</v>
      </c>
      <c r="AA435" s="175" t="s">
        <v>1139</v>
      </c>
      <c r="AB435" s="174" t="s">
        <v>1140</v>
      </c>
      <c r="AC435" s="174" t="s">
        <v>1502</v>
      </c>
      <c r="AD435" s="174" t="s">
        <v>2686</v>
      </c>
      <c r="AE435" s="242" t="e">
        <v>#N/A</v>
      </c>
      <c r="AF435" s="175" t="e">
        <v>#N/A</v>
      </c>
      <c r="AG435" s="174" t="e">
        <v>#N/A</v>
      </c>
      <c r="AH435" s="175" t="e">
        <v>#N/A</v>
      </c>
      <c r="AI435" s="174" t="s">
        <v>1727</v>
      </c>
      <c r="AJ435" s="174" t="s">
        <v>630</v>
      </c>
      <c r="AK435" s="174" t="str">
        <f t="shared" si="51"/>
        <v>MB</v>
      </c>
    </row>
    <row r="436" spans="26:37" ht="14.4" x14ac:dyDescent="0.3">
      <c r="Z436" s="173" t="s">
        <v>522</v>
      </c>
      <c r="AA436" s="175" t="e">
        <v>#N/A</v>
      </c>
      <c r="AB436" s="174" t="e">
        <v>#N/A</v>
      </c>
      <c r="AC436" s="174" t="e">
        <v>#N/A</v>
      </c>
      <c r="AD436" s="174" t="e">
        <v>#N/A</v>
      </c>
      <c r="AE436" s="242" t="e">
        <v>#N/A</v>
      </c>
      <c r="AF436" s="175" t="e">
        <v>#N/A</v>
      </c>
      <c r="AG436" s="174" t="e">
        <v>#N/A</v>
      </c>
      <c r="AH436" s="175" t="e">
        <v>#N/A</v>
      </c>
      <c r="AI436" s="174" t="e">
        <v>#N/A</v>
      </c>
      <c r="AJ436" s="174" t="e">
        <v>#N/A</v>
      </c>
      <c r="AK436" s="174" t="e">
        <f t="shared" si="51"/>
        <v>#N/A</v>
      </c>
    </row>
    <row r="437" spans="26:37" ht="14.4" x14ac:dyDescent="0.3">
      <c r="Z437" s="173" t="s">
        <v>516</v>
      </c>
      <c r="AA437" s="175" t="e">
        <v>#N/A</v>
      </c>
      <c r="AB437" s="174" t="e">
        <v>#N/A</v>
      </c>
      <c r="AC437" s="174" t="e">
        <v>#N/A</v>
      </c>
      <c r="AD437" s="174" t="e">
        <v>#N/A</v>
      </c>
      <c r="AE437" s="242" t="e">
        <v>#N/A</v>
      </c>
      <c r="AF437" s="175" t="e">
        <v>#N/A</v>
      </c>
      <c r="AG437" s="174" t="e">
        <v>#N/A</v>
      </c>
      <c r="AH437" s="175" t="e">
        <v>#N/A</v>
      </c>
      <c r="AI437" s="174" t="e">
        <v>#N/A</v>
      </c>
      <c r="AJ437" s="174" t="e">
        <v>#N/A</v>
      </c>
      <c r="AK437" s="174" t="e">
        <f t="shared" si="51"/>
        <v>#N/A</v>
      </c>
    </row>
    <row r="438" spans="26:37" ht="14.4" x14ac:dyDescent="0.3">
      <c r="Z438" s="173" t="s">
        <v>475</v>
      </c>
      <c r="AA438" s="175" t="s">
        <v>2687</v>
      </c>
      <c r="AB438" s="174" t="s">
        <v>2688</v>
      </c>
      <c r="AC438" s="174" t="s">
        <v>1558</v>
      </c>
      <c r="AD438" s="174" t="s">
        <v>2689</v>
      </c>
      <c r="AE438" s="242">
        <v>921.11895000000004</v>
      </c>
      <c r="AF438" s="175">
        <v>37.598120000000002</v>
      </c>
      <c r="AG438" s="174">
        <v>185.37687</v>
      </c>
      <c r="AH438" s="175">
        <v>15054.066199999999</v>
      </c>
      <c r="AI438" s="174" t="s">
        <v>1727</v>
      </c>
      <c r="AJ438" s="174" t="s">
        <v>767</v>
      </c>
      <c r="AK438" s="174" t="str">
        <f t="shared" si="51"/>
        <v>MB</v>
      </c>
    </row>
    <row r="439" spans="26:37" ht="14.4" x14ac:dyDescent="0.3">
      <c r="Z439" s="173" t="s">
        <v>477</v>
      </c>
      <c r="AA439" s="175" t="s">
        <v>2690</v>
      </c>
      <c r="AB439" s="174" t="s">
        <v>971</v>
      </c>
      <c r="AC439" s="174" t="s">
        <v>1443</v>
      </c>
      <c r="AD439" s="174" t="s">
        <v>2691</v>
      </c>
      <c r="AE439" s="242">
        <v>1271.6065599999999</v>
      </c>
      <c r="AF439" s="175">
        <v>51.90428</v>
      </c>
      <c r="AG439" s="174">
        <v>255.91313</v>
      </c>
      <c r="AH439" s="175">
        <v>20782.16863</v>
      </c>
      <c r="AI439" s="174" t="s">
        <v>1727</v>
      </c>
      <c r="AJ439" s="174" t="s">
        <v>767</v>
      </c>
      <c r="AK439" s="174" t="str">
        <f t="shared" ref="AK439:AK501" si="52">VLOOKUP(AI439,$AN$241:$AO$244,2,0)</f>
        <v>MB</v>
      </c>
    </row>
    <row r="440" spans="26:37" ht="14.4" x14ac:dyDescent="0.3">
      <c r="Z440" s="173" t="s">
        <v>523</v>
      </c>
      <c r="AA440" s="175" t="s">
        <v>2692</v>
      </c>
      <c r="AB440" s="174" t="s">
        <v>2693</v>
      </c>
      <c r="AC440" s="174" t="s">
        <v>1486</v>
      </c>
      <c r="AD440" s="174" t="s">
        <v>2694</v>
      </c>
      <c r="AE440" s="242">
        <v>830.70477000000005</v>
      </c>
      <c r="AF440" s="175">
        <v>33.907600000000002</v>
      </c>
      <c r="AG440" s="174">
        <v>167.18084999999999</v>
      </c>
      <c r="AH440" s="175">
        <v>13576.40583</v>
      </c>
      <c r="AI440" s="174" t="s">
        <v>643</v>
      </c>
      <c r="AJ440" s="174" t="s">
        <v>767</v>
      </c>
      <c r="AK440" s="174" t="str">
        <f t="shared" si="52"/>
        <v>SZT.</v>
      </c>
    </row>
    <row r="441" spans="26:37" ht="14.4" x14ac:dyDescent="0.3">
      <c r="Z441" s="173" t="s">
        <v>597</v>
      </c>
      <c r="AA441" s="175" t="e">
        <v>#N/A</v>
      </c>
      <c r="AB441" s="174" t="e">
        <v>#N/A</v>
      </c>
      <c r="AC441" s="174" t="e">
        <v>#N/A</v>
      </c>
      <c r="AD441" s="174" t="e">
        <v>#N/A</v>
      </c>
      <c r="AE441" s="242" t="e">
        <v>#N/A</v>
      </c>
      <c r="AF441" s="175" t="e">
        <v>#N/A</v>
      </c>
      <c r="AG441" s="174" t="e">
        <v>#N/A</v>
      </c>
      <c r="AH441" s="175" t="e">
        <v>#N/A</v>
      </c>
      <c r="AI441" s="174" t="e">
        <v>#N/A</v>
      </c>
      <c r="AJ441" s="174" t="e">
        <v>#N/A</v>
      </c>
      <c r="AK441" s="174" t="e">
        <f t="shared" si="52"/>
        <v>#N/A</v>
      </c>
    </row>
    <row r="442" spans="26:37" ht="14.4" x14ac:dyDescent="0.3">
      <c r="Z442" s="173" t="s">
        <v>741</v>
      </c>
      <c r="AA442" s="175" t="s">
        <v>742</v>
      </c>
      <c r="AB442" s="174" t="s">
        <v>743</v>
      </c>
      <c r="AC442" s="174" t="s">
        <v>2695</v>
      </c>
      <c r="AD442" s="174" t="s">
        <v>2696</v>
      </c>
      <c r="AE442" s="242">
        <v>203.32050000000001</v>
      </c>
      <c r="AF442" s="175">
        <v>8.2991100000000007</v>
      </c>
      <c r="AG442" s="174">
        <v>40.918610000000001</v>
      </c>
      <c r="AH442" s="175">
        <v>3226.1312200000002</v>
      </c>
      <c r="AI442" s="174" t="s">
        <v>643</v>
      </c>
      <c r="AJ442" s="174" t="s">
        <v>630</v>
      </c>
      <c r="AK442" s="174" t="str">
        <f t="shared" si="52"/>
        <v>SZT.</v>
      </c>
    </row>
    <row r="443" spans="26:37" ht="14.4" x14ac:dyDescent="0.3">
      <c r="Z443" s="173" t="s">
        <v>746</v>
      </c>
      <c r="AA443" s="175" t="s">
        <v>747</v>
      </c>
      <c r="AB443" s="174" t="s">
        <v>2697</v>
      </c>
      <c r="AC443" s="174" t="s">
        <v>2698</v>
      </c>
      <c r="AD443" s="174" t="s">
        <v>2699</v>
      </c>
      <c r="AE443" s="242">
        <v>253.73493999999999</v>
      </c>
      <c r="AF443" s="175">
        <v>10.356920000000001</v>
      </c>
      <c r="AG443" s="174">
        <v>51.064619999999998</v>
      </c>
      <c r="AH443" s="175">
        <v>4026.0684000000001</v>
      </c>
      <c r="AI443" s="174" t="s">
        <v>643</v>
      </c>
      <c r="AJ443" s="174" t="s">
        <v>630</v>
      </c>
      <c r="AK443" s="174" t="str">
        <f t="shared" si="52"/>
        <v>SZT.</v>
      </c>
    </row>
    <row r="444" spans="26:37" ht="14.4" x14ac:dyDescent="0.3">
      <c r="Z444" s="173" t="s">
        <v>751</v>
      </c>
      <c r="AA444" s="175" t="s">
        <v>2700</v>
      </c>
      <c r="AB444" s="174" t="s">
        <v>2701</v>
      </c>
      <c r="AC444" s="174" t="s">
        <v>2702</v>
      </c>
      <c r="AD444" s="174" t="s">
        <v>2703</v>
      </c>
      <c r="AE444" s="242">
        <v>19.85314</v>
      </c>
      <c r="AF444" s="175">
        <v>0.81035999999999997</v>
      </c>
      <c r="AG444" s="174">
        <v>3.9954800000000001</v>
      </c>
      <c r="AH444" s="175">
        <v>324.46465000000001</v>
      </c>
      <c r="AI444" s="174" t="s">
        <v>643</v>
      </c>
      <c r="AJ444" s="174" t="s">
        <v>630</v>
      </c>
      <c r="AK444" s="174" t="str">
        <f t="shared" si="52"/>
        <v>SZT.</v>
      </c>
    </row>
    <row r="445" spans="26:37" ht="14.4" x14ac:dyDescent="0.3">
      <c r="Z445" s="173" t="s">
        <v>549</v>
      </c>
      <c r="AA445" s="175" t="s">
        <v>2704</v>
      </c>
      <c r="AB445" s="174" t="s">
        <v>756</v>
      </c>
      <c r="AC445" s="174" t="s">
        <v>1371</v>
      </c>
      <c r="AD445" s="174" t="s">
        <v>2705</v>
      </c>
      <c r="AE445" s="242">
        <v>63.236220000000003</v>
      </c>
      <c r="AF445" s="175">
        <v>2.5811899999999999</v>
      </c>
      <c r="AG445" s="174">
        <v>12.713850000000001</v>
      </c>
      <c r="AH445" s="175">
        <v>1006.36353</v>
      </c>
      <c r="AI445" s="174" t="s">
        <v>1727</v>
      </c>
      <c r="AJ445" s="174" t="s">
        <v>630</v>
      </c>
      <c r="AK445" s="174" t="str">
        <f t="shared" si="52"/>
        <v>MB</v>
      </c>
    </row>
    <row r="446" spans="26:37" ht="14.4" x14ac:dyDescent="0.3">
      <c r="Z446" s="173" t="s">
        <v>758</v>
      </c>
      <c r="AA446" s="175" t="s">
        <v>2706</v>
      </c>
      <c r="AB446" s="174" t="s">
        <v>760</v>
      </c>
      <c r="AC446" s="174" t="s">
        <v>1372</v>
      </c>
      <c r="AD446" s="174" t="s">
        <v>2707</v>
      </c>
      <c r="AE446" s="242">
        <v>28.153890000000001</v>
      </c>
      <c r="AF446" s="175">
        <v>1.1491800000000001</v>
      </c>
      <c r="AG446" s="174">
        <v>5.6660300000000001</v>
      </c>
      <c r="AH446" s="175">
        <v>446.72442999999998</v>
      </c>
      <c r="AI446" s="174" t="s">
        <v>1727</v>
      </c>
      <c r="AJ446" s="174" t="s">
        <v>630</v>
      </c>
      <c r="AK446" s="174" t="str">
        <f t="shared" si="52"/>
        <v>MB</v>
      </c>
    </row>
    <row r="447" spans="26:37" ht="14.4" x14ac:dyDescent="0.3">
      <c r="Z447" s="173" t="s">
        <v>443</v>
      </c>
      <c r="AA447" s="175" t="e">
        <v>#N/A</v>
      </c>
      <c r="AB447" s="174" t="e">
        <v>#N/A</v>
      </c>
      <c r="AC447" s="174" t="e">
        <v>#N/A</v>
      </c>
      <c r="AD447" s="174" t="e">
        <v>#N/A</v>
      </c>
      <c r="AE447" s="242" t="e">
        <v>#N/A</v>
      </c>
      <c r="AF447" s="175" t="e">
        <v>#N/A</v>
      </c>
      <c r="AG447" s="174" t="e">
        <v>#N/A</v>
      </c>
      <c r="AH447" s="175" t="e">
        <v>#N/A</v>
      </c>
      <c r="AI447" s="174" t="e">
        <v>#N/A</v>
      </c>
      <c r="AJ447" s="174" t="e">
        <v>#N/A</v>
      </c>
      <c r="AK447" s="174" t="e">
        <f t="shared" si="52"/>
        <v>#N/A</v>
      </c>
    </row>
    <row r="448" spans="26:37" ht="14.4" x14ac:dyDescent="0.3">
      <c r="Z448" s="173" t="s">
        <v>770</v>
      </c>
      <c r="AA448" s="175" t="s">
        <v>771</v>
      </c>
      <c r="AB448" s="174" t="s">
        <v>772</v>
      </c>
      <c r="AC448" s="174" t="s">
        <v>1375</v>
      </c>
      <c r="AD448" s="174" t="s">
        <v>2708</v>
      </c>
      <c r="AE448" s="242">
        <v>15.49718</v>
      </c>
      <c r="AF448" s="175">
        <v>0.63256999999999997</v>
      </c>
      <c r="AG448" s="174">
        <v>3.1188400000000001</v>
      </c>
      <c r="AH448" s="175">
        <v>253.27401</v>
      </c>
      <c r="AI448" s="174" t="s">
        <v>643</v>
      </c>
      <c r="AJ448" s="174" t="s">
        <v>767</v>
      </c>
      <c r="AK448" s="174" t="str">
        <f t="shared" si="52"/>
        <v>SZT.</v>
      </c>
    </row>
    <row r="449" spans="26:37" ht="14.4" x14ac:dyDescent="0.3">
      <c r="Z449" s="173" t="s">
        <v>774</v>
      </c>
      <c r="AA449" s="175" t="s">
        <v>775</v>
      </c>
      <c r="AB449" s="174" t="s">
        <v>776</v>
      </c>
      <c r="AC449" s="174" t="s">
        <v>1376</v>
      </c>
      <c r="AD449" s="174" t="s">
        <v>2709</v>
      </c>
      <c r="AE449" s="242">
        <v>15.49718</v>
      </c>
      <c r="AF449" s="175">
        <v>0.63256999999999997</v>
      </c>
      <c r="AG449" s="174">
        <v>3.1188400000000001</v>
      </c>
      <c r="AH449" s="175">
        <v>253.27401</v>
      </c>
      <c r="AI449" s="174" t="s">
        <v>643</v>
      </c>
      <c r="AJ449" s="174" t="s">
        <v>767</v>
      </c>
      <c r="AK449" s="174" t="str">
        <f t="shared" si="52"/>
        <v>SZT.</v>
      </c>
    </row>
    <row r="450" spans="26:37" ht="14.4" x14ac:dyDescent="0.3">
      <c r="Z450" s="173" t="s">
        <v>778</v>
      </c>
      <c r="AA450" s="175" t="s">
        <v>779</v>
      </c>
      <c r="AB450" s="174" t="s">
        <v>780</v>
      </c>
      <c r="AC450" s="174" t="s">
        <v>1377</v>
      </c>
      <c r="AD450" s="174" t="s">
        <v>2710</v>
      </c>
      <c r="AE450" s="242">
        <v>15.49718</v>
      </c>
      <c r="AF450" s="175">
        <v>0.63256999999999997</v>
      </c>
      <c r="AG450" s="174">
        <v>3.1188400000000001</v>
      </c>
      <c r="AH450" s="175">
        <v>253.27401</v>
      </c>
      <c r="AI450" s="174" t="s">
        <v>643</v>
      </c>
      <c r="AJ450" s="174" t="s">
        <v>767</v>
      </c>
      <c r="AK450" s="174" t="str">
        <f t="shared" si="52"/>
        <v>SZT.</v>
      </c>
    </row>
    <row r="451" spans="26:37" ht="14.4" x14ac:dyDescent="0.3">
      <c r="Z451" s="173" t="s">
        <v>782</v>
      </c>
      <c r="AA451" s="175" t="s">
        <v>783</v>
      </c>
      <c r="AB451" s="174" t="s">
        <v>784</v>
      </c>
      <c r="AC451" s="174" t="s">
        <v>1377</v>
      </c>
      <c r="AD451" s="174" t="s">
        <v>2711</v>
      </c>
      <c r="AE451" s="242">
        <v>15.49718</v>
      </c>
      <c r="AF451" s="175">
        <v>0.63256999999999997</v>
      </c>
      <c r="AG451" s="174">
        <v>3.1188400000000001</v>
      </c>
      <c r="AH451" s="175">
        <v>253.27401</v>
      </c>
      <c r="AI451" s="174" t="s">
        <v>643</v>
      </c>
      <c r="AJ451" s="174" t="s">
        <v>767</v>
      </c>
      <c r="AK451" s="174" t="str">
        <f t="shared" si="52"/>
        <v>SZT.</v>
      </c>
    </row>
    <row r="452" spans="26:37" ht="14.4" x14ac:dyDescent="0.3">
      <c r="Z452" s="376" t="s">
        <v>762</v>
      </c>
      <c r="AA452" s="175" t="s">
        <v>763</v>
      </c>
      <c r="AB452" s="174" t="s">
        <v>764</v>
      </c>
      <c r="AC452" s="174" t="s">
        <v>1373</v>
      </c>
      <c r="AD452" s="174" t="s">
        <v>2712</v>
      </c>
      <c r="AE452" s="242" t="e">
        <v>#N/A</v>
      </c>
      <c r="AF452" s="175" t="e">
        <v>#N/A</v>
      </c>
      <c r="AG452" s="174" t="e">
        <v>#N/A</v>
      </c>
      <c r="AH452" s="175" t="e">
        <v>#N/A</v>
      </c>
      <c r="AI452" s="174" t="s">
        <v>657</v>
      </c>
      <c r="AJ452" s="174" t="s">
        <v>630</v>
      </c>
      <c r="AK452" s="174" t="str">
        <f t="shared" si="52"/>
        <v>PAR.</v>
      </c>
    </row>
    <row r="453" spans="26:37" ht="14.4" x14ac:dyDescent="0.3">
      <c r="Z453" s="173" t="s">
        <v>924</v>
      </c>
      <c r="AA453" s="175" t="s">
        <v>2713</v>
      </c>
      <c r="AB453" s="174" t="s">
        <v>926</v>
      </c>
      <c r="AC453" s="174" t="s">
        <v>1425</v>
      </c>
      <c r="AD453" s="174" t="s">
        <v>2714</v>
      </c>
      <c r="AE453" s="242">
        <v>4.2864100000000001</v>
      </c>
      <c r="AF453" s="175">
        <v>0.17496999999999999</v>
      </c>
      <c r="AG453" s="174">
        <v>0.86263999999999996</v>
      </c>
      <c r="AH453" s="175">
        <v>70.054090000000002</v>
      </c>
      <c r="AI453" s="174" t="s">
        <v>643</v>
      </c>
      <c r="AJ453" s="174" t="s">
        <v>767</v>
      </c>
      <c r="AK453" s="174" t="str">
        <f t="shared" si="52"/>
        <v>SZT.</v>
      </c>
    </row>
    <row r="454" spans="26:37" ht="14.4" x14ac:dyDescent="0.3">
      <c r="Z454" s="173" t="s">
        <v>766</v>
      </c>
      <c r="AA454" s="175" t="e">
        <v>#N/A</v>
      </c>
      <c r="AB454" s="174" t="e">
        <v>#N/A</v>
      </c>
      <c r="AC454" s="174" t="e">
        <v>#N/A</v>
      </c>
      <c r="AD454" s="174" t="e">
        <v>#N/A</v>
      </c>
      <c r="AE454" s="242" t="e">
        <v>#N/A</v>
      </c>
      <c r="AF454" s="175" t="e">
        <v>#N/A</v>
      </c>
      <c r="AG454" s="174" t="e">
        <v>#N/A</v>
      </c>
      <c r="AH454" s="175" t="e">
        <v>#N/A</v>
      </c>
      <c r="AI454" s="174" t="e">
        <v>#N/A</v>
      </c>
      <c r="AJ454" s="174" t="e">
        <v>#N/A</v>
      </c>
      <c r="AK454" s="174" t="e">
        <f t="shared" si="52"/>
        <v>#N/A</v>
      </c>
    </row>
    <row r="455" spans="26:37" ht="14.4" x14ac:dyDescent="0.3">
      <c r="Z455" s="173" t="s">
        <v>445</v>
      </c>
      <c r="AA455" s="175" t="s">
        <v>2715</v>
      </c>
      <c r="AB455" s="174" t="s">
        <v>769</v>
      </c>
      <c r="AC455" s="174" t="s">
        <v>1374</v>
      </c>
      <c r="AD455" s="174" t="s">
        <v>2716</v>
      </c>
      <c r="AE455" s="242">
        <v>73.072969999999998</v>
      </c>
      <c r="AF455" s="175">
        <v>2.9826800000000002</v>
      </c>
      <c r="AG455" s="174">
        <v>14.691560000000001</v>
      </c>
      <c r="AH455" s="175">
        <v>1162.9090000000001</v>
      </c>
      <c r="AI455" s="174" t="s">
        <v>643</v>
      </c>
      <c r="AJ455" s="174" t="s">
        <v>630</v>
      </c>
      <c r="AK455" s="174" t="str">
        <f t="shared" si="52"/>
        <v>SZT.</v>
      </c>
    </row>
    <row r="456" spans="26:37" ht="14.4" x14ac:dyDescent="0.3">
      <c r="Z456" s="173" t="s">
        <v>1707</v>
      </c>
      <c r="AA456" s="175" t="e">
        <v>#N/A</v>
      </c>
      <c r="AB456" s="174" t="e">
        <v>#N/A</v>
      </c>
      <c r="AC456" s="174" t="e">
        <v>#N/A</v>
      </c>
      <c r="AD456" s="174" t="e">
        <v>#N/A</v>
      </c>
      <c r="AE456" s="242" t="e">
        <v>#N/A</v>
      </c>
      <c r="AF456" s="175" t="e">
        <v>#N/A</v>
      </c>
      <c r="AG456" s="174" t="e">
        <v>#N/A</v>
      </c>
      <c r="AH456" s="175" t="e">
        <v>#N/A</v>
      </c>
      <c r="AI456" s="174" t="e">
        <v>#N/A</v>
      </c>
      <c r="AJ456" s="174" t="e">
        <v>#N/A</v>
      </c>
      <c r="AK456" s="174" t="e">
        <f t="shared" si="52"/>
        <v>#N/A</v>
      </c>
    </row>
    <row r="457" spans="26:37" ht="14.4" x14ac:dyDescent="0.3">
      <c r="Z457" s="173" t="s">
        <v>790</v>
      </c>
      <c r="AA457" s="175" t="s">
        <v>1734</v>
      </c>
      <c r="AB457" s="174" t="s">
        <v>791</v>
      </c>
      <c r="AC457" s="174" t="s">
        <v>792</v>
      </c>
      <c r="AD457" s="174" t="s">
        <v>2717</v>
      </c>
      <c r="AE457" s="242">
        <v>1024.21012</v>
      </c>
      <c r="AF457" s="175">
        <v>41.806080000000001</v>
      </c>
      <c r="AG457" s="174">
        <v>206.12415999999999</v>
      </c>
      <c r="AH457" s="175">
        <v>16738.909780000002</v>
      </c>
      <c r="AI457" s="174" t="s">
        <v>643</v>
      </c>
      <c r="AJ457" s="174" t="s">
        <v>767</v>
      </c>
      <c r="AK457" s="174" t="str">
        <f t="shared" si="52"/>
        <v>SZT.</v>
      </c>
    </row>
    <row r="458" spans="26:37" ht="14.4" x14ac:dyDescent="0.3">
      <c r="Z458" s="173" t="s">
        <v>721</v>
      </c>
      <c r="AA458" s="175" t="s">
        <v>2718</v>
      </c>
      <c r="AB458" s="174" t="s">
        <v>724</v>
      </c>
      <c r="AC458" s="174" t="s">
        <v>1546</v>
      </c>
      <c r="AD458" s="174" t="s">
        <v>2719</v>
      </c>
      <c r="AE458" s="242">
        <v>1262.6712399999999</v>
      </c>
      <c r="AF458" s="175">
        <v>51.539569999999998</v>
      </c>
      <c r="AG458" s="174">
        <v>254.11489</v>
      </c>
      <c r="AH458" s="175">
        <v>20636.13696</v>
      </c>
      <c r="AI458" s="174" t="s">
        <v>723</v>
      </c>
      <c r="AJ458" s="174" t="s">
        <v>630</v>
      </c>
      <c r="AK458" s="174" t="str">
        <f t="shared" si="52"/>
        <v>KOMP.</v>
      </c>
    </row>
    <row r="459" spans="26:37" ht="14.4" x14ac:dyDescent="0.3">
      <c r="Z459" s="173" t="s">
        <v>616</v>
      </c>
      <c r="AA459" s="175" t="s">
        <v>2720</v>
      </c>
      <c r="AB459" s="174" t="s">
        <v>2721</v>
      </c>
      <c r="AC459" s="174" t="s">
        <v>1553</v>
      </c>
      <c r="AD459" s="174" t="s">
        <v>2722</v>
      </c>
      <c r="AE459" s="242" t="e">
        <v>#N/A</v>
      </c>
      <c r="AF459" s="175" t="e">
        <v>#N/A</v>
      </c>
      <c r="AG459" s="174" t="e">
        <v>#N/A</v>
      </c>
      <c r="AH459" s="175" t="e">
        <v>#N/A</v>
      </c>
      <c r="AI459" s="174" t="s">
        <v>1727</v>
      </c>
      <c r="AJ459" s="174" t="s">
        <v>767</v>
      </c>
      <c r="AK459" s="174" t="str">
        <f t="shared" si="52"/>
        <v>MB</v>
      </c>
    </row>
    <row r="460" spans="26:37" ht="14.4" x14ac:dyDescent="0.3">
      <c r="Z460" s="173" t="s">
        <v>1527</v>
      </c>
      <c r="AA460" s="175" t="s">
        <v>1554</v>
      </c>
      <c r="AB460" s="174" t="s">
        <v>1708</v>
      </c>
      <c r="AC460" s="174" t="s">
        <v>1697</v>
      </c>
      <c r="AD460" s="174" t="s">
        <v>1648</v>
      </c>
      <c r="AE460" s="242">
        <v>91.18235</v>
      </c>
      <c r="AF460" s="175">
        <v>3.7218599999999999</v>
      </c>
      <c r="AG460" s="174">
        <v>18.350619999999999</v>
      </c>
      <c r="AH460" s="175">
        <v>1490.21471</v>
      </c>
      <c r="AI460" s="174" t="s">
        <v>657</v>
      </c>
      <c r="AJ460" s="174" t="s">
        <v>767</v>
      </c>
      <c r="AK460" s="174" t="str">
        <f t="shared" si="52"/>
        <v>PAR.</v>
      </c>
    </row>
    <row r="461" spans="26:37" ht="14.4" x14ac:dyDescent="0.3">
      <c r="Z461" s="173" t="s">
        <v>1709</v>
      </c>
      <c r="AA461" s="175" t="s">
        <v>1737</v>
      </c>
      <c r="AB461" s="174" t="s">
        <v>1862</v>
      </c>
      <c r="AC461" s="174" t="s">
        <v>1710</v>
      </c>
      <c r="AD461" s="174" t="s">
        <v>2723</v>
      </c>
      <c r="AE461" s="242">
        <v>130.37179</v>
      </c>
      <c r="AF461" s="175">
        <v>5.3215000000000003</v>
      </c>
      <c r="AG461" s="174">
        <v>26.237559999999998</v>
      </c>
      <c r="AH461" s="175">
        <v>2130.6971400000002</v>
      </c>
      <c r="AI461" s="174" t="s">
        <v>643</v>
      </c>
      <c r="AJ461" s="174" t="s">
        <v>767</v>
      </c>
      <c r="AK461" s="174" t="str">
        <f t="shared" si="52"/>
        <v>SZT.</v>
      </c>
    </row>
    <row r="462" spans="26:37" ht="14.4" x14ac:dyDescent="0.3">
      <c r="Z462" s="376" t="s">
        <v>800</v>
      </c>
      <c r="AA462" s="175" t="e">
        <v>#N/A</v>
      </c>
      <c r="AB462" s="174" t="e">
        <v>#N/A</v>
      </c>
      <c r="AC462" s="174" t="e">
        <v>#N/A</v>
      </c>
      <c r="AD462" s="174" t="e">
        <v>#N/A</v>
      </c>
      <c r="AE462" s="242" t="e">
        <v>#N/A</v>
      </c>
      <c r="AF462" s="175" t="e">
        <v>#N/A</v>
      </c>
      <c r="AG462" s="174" t="e">
        <v>#N/A</v>
      </c>
      <c r="AH462" s="175" t="e">
        <v>#N/A</v>
      </c>
      <c r="AI462" s="174" t="e">
        <v>#N/A</v>
      </c>
      <c r="AJ462" s="174" t="e">
        <v>#N/A</v>
      </c>
      <c r="AK462" s="174" t="e">
        <f t="shared" si="52"/>
        <v>#N/A</v>
      </c>
    </row>
    <row r="463" spans="26:37" ht="14.4" x14ac:dyDescent="0.3">
      <c r="Z463" s="173" t="s">
        <v>613</v>
      </c>
      <c r="AA463" s="175" t="s">
        <v>794</v>
      </c>
      <c r="AB463" s="174" t="s">
        <v>794</v>
      </c>
      <c r="AC463" s="174" t="s">
        <v>1548</v>
      </c>
      <c r="AD463" s="174" t="s">
        <v>795</v>
      </c>
      <c r="AE463" s="242">
        <v>457.0412</v>
      </c>
      <c r="AF463" s="175">
        <v>18.655460000000001</v>
      </c>
      <c r="AG463" s="174">
        <v>91.980369999999994</v>
      </c>
      <c r="AH463" s="175">
        <v>7469.5329899999997</v>
      </c>
      <c r="AI463" s="174" t="s">
        <v>1727</v>
      </c>
      <c r="AJ463" s="174" t="s">
        <v>767</v>
      </c>
      <c r="AK463" s="174" t="str">
        <f t="shared" si="52"/>
        <v>MB</v>
      </c>
    </row>
    <row r="464" spans="26:37" ht="14.4" x14ac:dyDescent="0.3">
      <c r="Z464" s="173" t="s">
        <v>614</v>
      </c>
      <c r="AA464" s="175" t="s">
        <v>796</v>
      </c>
      <c r="AB464" s="174" t="s">
        <v>796</v>
      </c>
      <c r="AC464" s="174" t="s">
        <v>1549</v>
      </c>
      <c r="AD464" s="174" t="s">
        <v>2724</v>
      </c>
      <c r="AE464" s="242">
        <v>572.08334000000002</v>
      </c>
      <c r="AF464" s="175">
        <v>23.351230000000001</v>
      </c>
      <c r="AG464" s="174">
        <v>115.13282</v>
      </c>
      <c r="AH464" s="175">
        <v>9349.6940900000009</v>
      </c>
      <c r="AI464" s="174" t="s">
        <v>1727</v>
      </c>
      <c r="AJ464" s="174" t="s">
        <v>767</v>
      </c>
      <c r="AK464" s="174" t="str">
        <f t="shared" si="52"/>
        <v>MB</v>
      </c>
    </row>
    <row r="465" spans="23:37" ht="14.4" x14ac:dyDescent="0.3">
      <c r="Z465" s="173" t="s">
        <v>615</v>
      </c>
      <c r="AA465" s="175" t="s">
        <v>2725</v>
      </c>
      <c r="AB465" s="174" t="s">
        <v>2726</v>
      </c>
      <c r="AC465" s="174" t="s">
        <v>1551</v>
      </c>
      <c r="AD465" s="174" t="s">
        <v>2727</v>
      </c>
      <c r="AE465" s="242">
        <v>780.10965999999996</v>
      </c>
      <c r="AF465" s="175">
        <v>31.842420000000001</v>
      </c>
      <c r="AG465" s="174">
        <v>156.99848</v>
      </c>
      <c r="AH465" s="175">
        <v>12749.518</v>
      </c>
      <c r="AI465" s="174" t="s">
        <v>1727</v>
      </c>
      <c r="AJ465" s="174" t="s">
        <v>767</v>
      </c>
      <c r="AK465" s="174" t="str">
        <f t="shared" si="52"/>
        <v>MB</v>
      </c>
    </row>
    <row r="466" spans="23:37" ht="14.4" x14ac:dyDescent="0.3">
      <c r="Z466" s="175" t="s">
        <v>1334</v>
      </c>
      <c r="AA466" s="175" t="s">
        <v>1487</v>
      </c>
      <c r="AB466" s="174" t="s">
        <v>1560</v>
      </c>
      <c r="AC466" s="174" t="s">
        <v>1561</v>
      </c>
      <c r="AD466" s="174" t="s">
        <v>1562</v>
      </c>
      <c r="AE466" s="242">
        <v>16.614090000000001</v>
      </c>
      <c r="AF466" s="175">
        <v>0.67815999999999999</v>
      </c>
      <c r="AG466" s="174">
        <v>3.3436300000000001</v>
      </c>
      <c r="AH466" s="175">
        <v>263.61946999999998</v>
      </c>
      <c r="AI466" s="174" t="s">
        <v>1727</v>
      </c>
      <c r="AJ466" s="174" t="s">
        <v>2056</v>
      </c>
      <c r="AK466" s="174" t="str">
        <f t="shared" si="52"/>
        <v>MB</v>
      </c>
    </row>
    <row r="467" spans="23:37" ht="14.4" x14ac:dyDescent="0.3">
      <c r="Z467" s="310" t="s">
        <v>1195</v>
      </c>
      <c r="AA467" s="337" t="s">
        <v>1518</v>
      </c>
      <c r="AB467" s="174" t="s">
        <v>1565</v>
      </c>
      <c r="AC467" s="174" t="s">
        <v>1770</v>
      </c>
      <c r="AD467" s="174" t="s">
        <v>2153</v>
      </c>
      <c r="AE467" s="242">
        <v>250</v>
      </c>
      <c r="AF467" s="337">
        <v>10</v>
      </c>
      <c r="AG467" s="174">
        <v>40</v>
      </c>
      <c r="AH467" s="175">
        <v>2800</v>
      </c>
      <c r="AI467" s="174" t="s">
        <v>643</v>
      </c>
      <c r="AJ467" s="174" t="s">
        <v>2056</v>
      </c>
      <c r="AK467" s="174" t="str">
        <f t="shared" si="52"/>
        <v>SZT.</v>
      </c>
    </row>
    <row r="468" spans="23:37" ht="14.4" x14ac:dyDescent="0.3">
      <c r="Z468" s="174">
        <v>178140</v>
      </c>
      <c r="AA468" s="175" t="s">
        <v>2728</v>
      </c>
      <c r="AB468" s="174" t="s">
        <v>2059</v>
      </c>
      <c r="AC468" s="174" t="s">
        <v>2061</v>
      </c>
      <c r="AD468" s="174" t="s">
        <v>2729</v>
      </c>
      <c r="AE468" s="242" t="e">
        <v>#N/A</v>
      </c>
      <c r="AF468" s="175" t="e">
        <v>#N/A</v>
      </c>
      <c r="AG468" s="174" t="e">
        <v>#N/A</v>
      </c>
      <c r="AH468" s="175" t="e">
        <v>#N/A</v>
      </c>
      <c r="AI468" s="174" t="s">
        <v>1727</v>
      </c>
      <c r="AJ468" s="174" t="s">
        <v>630</v>
      </c>
      <c r="AK468" s="174" t="str">
        <f t="shared" si="52"/>
        <v>MB</v>
      </c>
    </row>
    <row r="469" spans="23:37" ht="14.4" x14ac:dyDescent="0.3">
      <c r="Z469" s="174">
        <v>202650</v>
      </c>
      <c r="AA469" s="175" t="s">
        <v>2730</v>
      </c>
      <c r="AB469" s="174" t="s">
        <v>2062</v>
      </c>
      <c r="AC469" s="174" t="s">
        <v>2064</v>
      </c>
      <c r="AD469" s="174" t="s">
        <v>2063</v>
      </c>
      <c r="AE469" s="242" t="e">
        <v>#N/A</v>
      </c>
      <c r="AF469" s="175" t="e">
        <v>#N/A</v>
      </c>
      <c r="AG469" s="174" t="e">
        <v>#N/A</v>
      </c>
      <c r="AH469" s="175" t="e">
        <v>#N/A</v>
      </c>
      <c r="AI469" s="174" t="s">
        <v>1727</v>
      </c>
      <c r="AJ469" s="174" t="s">
        <v>630</v>
      </c>
      <c r="AK469" s="174" t="str">
        <f t="shared" si="52"/>
        <v>MB</v>
      </c>
    </row>
    <row r="470" spans="23:37" ht="14.4" x14ac:dyDescent="0.3">
      <c r="W470" s="172"/>
      <c r="Z470" s="174">
        <v>202651</v>
      </c>
      <c r="AA470" s="175" t="s">
        <v>2731</v>
      </c>
      <c r="AB470" s="174" t="s">
        <v>2065</v>
      </c>
      <c r="AC470" s="174" t="s">
        <v>2068</v>
      </c>
      <c r="AD470" s="174" t="s">
        <v>2732</v>
      </c>
      <c r="AE470" s="242" t="e">
        <v>#N/A</v>
      </c>
      <c r="AF470" s="175" t="e">
        <v>#N/A</v>
      </c>
      <c r="AG470" s="174" t="e">
        <v>#N/A</v>
      </c>
      <c r="AH470" s="175" t="e">
        <v>#N/A</v>
      </c>
      <c r="AI470" s="174" t="s">
        <v>1727</v>
      </c>
      <c r="AJ470" s="174" t="s">
        <v>630</v>
      </c>
      <c r="AK470" s="174" t="str">
        <f t="shared" si="52"/>
        <v>MB</v>
      </c>
    </row>
    <row r="471" spans="23:37" ht="14.4" x14ac:dyDescent="0.3">
      <c r="Z471" s="174">
        <v>202652</v>
      </c>
      <c r="AA471" s="175" t="s">
        <v>2733</v>
      </c>
      <c r="AB471" s="174" t="s">
        <v>2073</v>
      </c>
      <c r="AC471" s="174" t="s">
        <v>2072</v>
      </c>
      <c r="AD471" s="174" t="s">
        <v>2734</v>
      </c>
      <c r="AE471" s="242" t="e">
        <v>#N/A</v>
      </c>
      <c r="AF471" s="175" t="e">
        <v>#N/A</v>
      </c>
      <c r="AG471" s="174" t="e">
        <v>#N/A</v>
      </c>
      <c r="AH471" s="175" t="e">
        <v>#N/A</v>
      </c>
      <c r="AI471" s="174" t="s">
        <v>1727</v>
      </c>
      <c r="AJ471" s="174" t="s">
        <v>630</v>
      </c>
      <c r="AK471" s="174" t="str">
        <f t="shared" si="52"/>
        <v>MB</v>
      </c>
    </row>
    <row r="472" spans="23:37" ht="14.4" x14ac:dyDescent="0.3">
      <c r="Z472" s="174">
        <v>228521</v>
      </c>
      <c r="AA472" s="175" t="s">
        <v>2074</v>
      </c>
      <c r="AB472" s="174" t="s">
        <v>2074</v>
      </c>
      <c r="AC472" s="174" t="s">
        <v>2076</v>
      </c>
      <c r="AD472" s="174" t="s">
        <v>2075</v>
      </c>
      <c r="AE472" s="242" t="e">
        <v>#N/A</v>
      </c>
      <c r="AF472" s="175" t="e">
        <v>#N/A</v>
      </c>
      <c r="AG472" s="174" t="e">
        <v>#N/A</v>
      </c>
      <c r="AH472" s="175" t="e">
        <v>#N/A</v>
      </c>
      <c r="AI472" s="174" t="s">
        <v>1727</v>
      </c>
      <c r="AJ472" s="174" t="s">
        <v>630</v>
      </c>
      <c r="AK472" s="174" t="str">
        <f t="shared" si="52"/>
        <v>MB</v>
      </c>
    </row>
    <row r="473" spans="23:37" ht="14.4" x14ac:dyDescent="0.3">
      <c r="Z473" s="174">
        <v>244830</v>
      </c>
      <c r="AA473" s="175" t="s">
        <v>2077</v>
      </c>
      <c r="AB473" s="174" t="s">
        <v>2204</v>
      </c>
      <c r="AC473" s="174" t="s">
        <v>2079</v>
      </c>
      <c r="AD473" s="174" t="s">
        <v>2078</v>
      </c>
      <c r="AE473" s="242" t="e">
        <v>#N/A</v>
      </c>
      <c r="AF473" s="175" t="e">
        <v>#N/A</v>
      </c>
      <c r="AG473" s="174" t="e">
        <v>#N/A</v>
      </c>
      <c r="AH473" s="175" t="e">
        <v>#N/A</v>
      </c>
      <c r="AI473" s="174" t="s">
        <v>657</v>
      </c>
      <c r="AJ473" s="174" t="s">
        <v>630</v>
      </c>
      <c r="AK473" s="174" t="str">
        <f t="shared" si="52"/>
        <v>PAR.</v>
      </c>
    </row>
    <row r="474" spans="23:37" ht="14.4" x14ac:dyDescent="0.3">
      <c r="Z474" s="174">
        <v>307764</v>
      </c>
      <c r="AA474" s="175" t="s">
        <v>2735</v>
      </c>
      <c r="AB474" s="174" t="s">
        <v>2736</v>
      </c>
      <c r="AC474" s="174" t="s">
        <v>2206</v>
      </c>
      <c r="AD474" s="174" t="s">
        <v>2737</v>
      </c>
      <c r="AE474" s="242" t="e">
        <v>#N/A</v>
      </c>
      <c r="AF474" s="175" t="e">
        <v>#N/A</v>
      </c>
      <c r="AG474" s="174" t="e">
        <v>#N/A</v>
      </c>
      <c r="AH474" s="175" t="e">
        <v>#N/A</v>
      </c>
      <c r="AI474" s="174" t="s">
        <v>657</v>
      </c>
      <c r="AJ474" s="174" t="s">
        <v>630</v>
      </c>
      <c r="AK474" s="174" t="str">
        <f t="shared" si="52"/>
        <v>PAR.</v>
      </c>
    </row>
    <row r="475" spans="23:37" ht="14.4" x14ac:dyDescent="0.3">
      <c r="Z475" s="174">
        <v>365389</v>
      </c>
      <c r="AA475" s="175" t="e">
        <v>#N/A</v>
      </c>
      <c r="AB475" s="174" t="e">
        <v>#N/A</v>
      </c>
      <c r="AC475" s="174" t="e">
        <v>#N/A</v>
      </c>
      <c r="AD475" s="174" t="e">
        <v>#N/A</v>
      </c>
      <c r="AE475" s="242" t="e">
        <v>#N/A</v>
      </c>
      <c r="AF475" s="175" t="e">
        <v>#N/A</v>
      </c>
      <c r="AG475" s="174" t="e">
        <v>#N/A</v>
      </c>
      <c r="AH475" s="175" t="e">
        <v>#N/A</v>
      </c>
      <c r="AI475" s="174" t="e">
        <v>#N/A</v>
      </c>
      <c r="AJ475" s="174" t="e">
        <v>#N/A</v>
      </c>
      <c r="AK475" s="174" t="e">
        <f t="shared" si="52"/>
        <v>#N/A</v>
      </c>
    </row>
    <row r="476" spans="23:37" ht="14.4" x14ac:dyDescent="0.3">
      <c r="Z476" s="174">
        <v>353554</v>
      </c>
      <c r="AA476" s="175" t="s">
        <v>2738</v>
      </c>
      <c r="AB476" s="174" t="s">
        <v>2094</v>
      </c>
      <c r="AC476" s="174" t="s">
        <v>2209</v>
      </c>
      <c r="AD476" s="174" t="s">
        <v>2093</v>
      </c>
      <c r="AE476" s="242">
        <v>78.012069999999994</v>
      </c>
      <c r="AF476" s="175">
        <v>3.1842800000000002</v>
      </c>
      <c r="AG476" s="174">
        <v>15.70008</v>
      </c>
      <c r="AH476" s="175">
        <v>1274.9698599999999</v>
      </c>
      <c r="AI476" s="174" t="s">
        <v>1727</v>
      </c>
      <c r="AJ476" s="174" t="s">
        <v>1924</v>
      </c>
      <c r="AK476" s="174" t="str">
        <f t="shared" si="52"/>
        <v>MB</v>
      </c>
    </row>
    <row r="477" spans="23:37" ht="14.4" x14ac:dyDescent="0.3">
      <c r="Z477" s="174">
        <v>353556</v>
      </c>
      <c r="AA477" s="175" t="s">
        <v>2739</v>
      </c>
      <c r="AB477" s="174" t="s">
        <v>2098</v>
      </c>
      <c r="AC477" s="174" t="s">
        <v>2210</v>
      </c>
      <c r="AD477" s="174" t="s">
        <v>2097</v>
      </c>
      <c r="AE477" s="242">
        <v>92.396720000000002</v>
      </c>
      <c r="AF477" s="175">
        <v>3.7714400000000001</v>
      </c>
      <c r="AG477" s="174">
        <v>18.595009999999998</v>
      </c>
      <c r="AH477" s="175">
        <v>1510.06134</v>
      </c>
      <c r="AI477" s="174" t="s">
        <v>1727</v>
      </c>
      <c r="AJ477" s="174" t="s">
        <v>1924</v>
      </c>
      <c r="AK477" s="174" t="str">
        <f t="shared" si="52"/>
        <v>MB</v>
      </c>
    </row>
    <row r="478" spans="23:37" ht="14.4" x14ac:dyDescent="0.3">
      <c r="Z478" s="174">
        <v>353557</v>
      </c>
      <c r="AA478" s="175" t="s">
        <v>2099</v>
      </c>
      <c r="AB478" s="174" t="s">
        <v>2102</v>
      </c>
      <c r="AC478" s="174" t="s">
        <v>2211</v>
      </c>
      <c r="AD478" s="174" t="s">
        <v>2740</v>
      </c>
      <c r="AE478" s="242">
        <v>417.64204999999998</v>
      </c>
      <c r="AF478" s="175">
        <v>17.047270000000001</v>
      </c>
      <c r="AG478" s="174">
        <v>84.051220000000001</v>
      </c>
      <c r="AH478" s="175">
        <v>6825.6235999999999</v>
      </c>
      <c r="AI478" s="174" t="s">
        <v>1727</v>
      </c>
      <c r="AJ478" s="174" t="s">
        <v>1924</v>
      </c>
      <c r="AK478" s="174" t="str">
        <f t="shared" si="52"/>
        <v>MB</v>
      </c>
    </row>
    <row r="479" spans="23:37" ht="14.4" x14ac:dyDescent="0.3">
      <c r="Z479" s="174">
        <v>353559</v>
      </c>
      <c r="AA479" s="175" t="s">
        <v>2103</v>
      </c>
      <c r="AB479" s="174" t="s">
        <v>2106</v>
      </c>
      <c r="AC479" s="174" t="s">
        <v>2212</v>
      </c>
      <c r="AD479" s="174" t="s">
        <v>2741</v>
      </c>
      <c r="AE479" s="242">
        <v>209.5889</v>
      </c>
      <c r="AF479" s="175">
        <v>8.5549700000000009</v>
      </c>
      <c r="AG479" s="174">
        <v>42.180149999999998</v>
      </c>
      <c r="AH479" s="175">
        <v>3425.3617199999999</v>
      </c>
      <c r="AI479" s="174" t="s">
        <v>1727</v>
      </c>
      <c r="AJ479" s="174" t="s">
        <v>1924</v>
      </c>
      <c r="AK479" s="174" t="str">
        <f t="shared" si="52"/>
        <v>MB</v>
      </c>
    </row>
    <row r="480" spans="23:37" ht="14.4" x14ac:dyDescent="0.3">
      <c r="Z480" s="174">
        <v>353560</v>
      </c>
      <c r="AA480" s="175" t="s">
        <v>2107</v>
      </c>
      <c r="AB480" s="174" t="s">
        <v>2110</v>
      </c>
      <c r="AC480" s="174" t="s">
        <v>2213</v>
      </c>
      <c r="AD480" s="174" t="s">
        <v>2109</v>
      </c>
      <c r="AE480" s="242">
        <v>226.929</v>
      </c>
      <c r="AF480" s="175">
        <v>9.2627699999999997</v>
      </c>
      <c r="AG480" s="174">
        <v>45.669879999999999</v>
      </c>
      <c r="AH480" s="175">
        <v>3708.7543999999998</v>
      </c>
      <c r="AI480" s="174" t="s">
        <v>1727</v>
      </c>
      <c r="AJ480" s="174" t="s">
        <v>1924</v>
      </c>
      <c r="AK480" s="174" t="str">
        <f t="shared" si="52"/>
        <v>MB</v>
      </c>
    </row>
    <row r="481" spans="26:37" ht="14.4" x14ac:dyDescent="0.3">
      <c r="Z481" s="174">
        <v>353561</v>
      </c>
      <c r="AA481" s="175" t="s">
        <v>2742</v>
      </c>
      <c r="AB481" s="174" t="s">
        <v>2113</v>
      </c>
      <c r="AC481" s="174" t="s">
        <v>2214</v>
      </c>
      <c r="AD481" s="174" t="s">
        <v>2743</v>
      </c>
      <c r="AE481" s="242">
        <v>42.24727</v>
      </c>
      <c r="AF481" s="175">
        <v>1.72444</v>
      </c>
      <c r="AG481" s="174">
        <v>8.5023300000000006</v>
      </c>
      <c r="AH481" s="175">
        <v>690.45730000000003</v>
      </c>
      <c r="AI481" s="174" t="s">
        <v>657</v>
      </c>
      <c r="AJ481" s="174" t="s">
        <v>1924</v>
      </c>
      <c r="AK481" s="174" t="str">
        <f t="shared" si="52"/>
        <v>PAR.</v>
      </c>
    </row>
    <row r="482" spans="26:37" ht="14.4" x14ac:dyDescent="0.3">
      <c r="Z482" s="174"/>
      <c r="AA482" s="175"/>
      <c r="AB482" s="174"/>
      <c r="AC482" s="174"/>
      <c r="AD482" s="174"/>
      <c r="AE482" s="242" t="e">
        <v>#N/A</v>
      </c>
      <c r="AF482" s="175" t="e">
        <v>#N/A</v>
      </c>
      <c r="AG482" s="174" t="e">
        <v>#N/A</v>
      </c>
      <c r="AH482" s="175" t="e">
        <v>#N/A</v>
      </c>
      <c r="AI482" s="174"/>
      <c r="AJ482" s="174"/>
      <c r="AK482" s="174" t="e">
        <f t="shared" si="52"/>
        <v>#N/A</v>
      </c>
    </row>
    <row r="483" spans="26:37" ht="14.4" x14ac:dyDescent="0.3">
      <c r="Z483" s="174"/>
      <c r="AA483" s="175"/>
      <c r="AB483" s="174"/>
      <c r="AC483" s="174"/>
      <c r="AD483" s="174"/>
      <c r="AE483" s="242" t="e">
        <v>#N/A</v>
      </c>
      <c r="AF483" s="175" t="e">
        <v>#N/A</v>
      </c>
      <c r="AG483" s="174" t="e">
        <v>#N/A</v>
      </c>
      <c r="AH483" s="175" t="e">
        <v>#N/A</v>
      </c>
      <c r="AI483" s="174"/>
      <c r="AJ483" s="174"/>
      <c r="AK483" s="174" t="e">
        <f t="shared" si="52"/>
        <v>#N/A</v>
      </c>
    </row>
    <row r="484" spans="26:37" ht="14.4" x14ac:dyDescent="0.3">
      <c r="Z484" s="174"/>
      <c r="AA484" s="175"/>
      <c r="AB484" s="174"/>
      <c r="AC484" s="174"/>
      <c r="AD484" s="174"/>
      <c r="AE484" s="242" t="e">
        <v>#N/A</v>
      </c>
      <c r="AF484" s="175" t="e">
        <v>#N/A</v>
      </c>
      <c r="AG484" s="174" t="e">
        <v>#N/A</v>
      </c>
      <c r="AH484" s="175" t="e">
        <v>#N/A</v>
      </c>
      <c r="AI484" s="174"/>
      <c r="AJ484" s="174"/>
      <c r="AK484" s="174" t="e">
        <f t="shared" si="52"/>
        <v>#N/A</v>
      </c>
    </row>
    <row r="485" spans="26:37" ht="14.4" x14ac:dyDescent="0.3">
      <c r="Z485" s="174"/>
      <c r="AA485" s="175"/>
      <c r="AB485" s="174"/>
      <c r="AC485" s="174"/>
      <c r="AD485" s="174"/>
      <c r="AE485" s="242" t="e">
        <v>#N/A</v>
      </c>
      <c r="AF485" s="175" t="e">
        <v>#N/A</v>
      </c>
      <c r="AG485" s="174" t="e">
        <v>#N/A</v>
      </c>
      <c r="AH485" s="175" t="e">
        <v>#N/A</v>
      </c>
      <c r="AI485" s="174"/>
      <c r="AJ485" s="174"/>
      <c r="AK485" s="174" t="e">
        <f t="shared" si="52"/>
        <v>#N/A</v>
      </c>
    </row>
    <row r="486" spans="26:37" ht="14.4" x14ac:dyDescent="0.3">
      <c r="Z486" s="174"/>
      <c r="AA486" s="175"/>
      <c r="AB486" s="174"/>
      <c r="AC486" s="174"/>
      <c r="AD486" s="174"/>
      <c r="AE486" s="242" t="e">
        <v>#N/A</v>
      </c>
      <c r="AF486" s="175" t="e">
        <v>#N/A</v>
      </c>
      <c r="AG486" s="174" t="e">
        <v>#N/A</v>
      </c>
      <c r="AH486" s="175" t="e">
        <v>#N/A</v>
      </c>
      <c r="AI486" s="174"/>
      <c r="AJ486" s="174"/>
      <c r="AK486" s="174" t="e">
        <f t="shared" si="52"/>
        <v>#N/A</v>
      </c>
    </row>
    <row r="487" spans="26:37" ht="14.4" x14ac:dyDescent="0.3">
      <c r="Z487" s="174"/>
      <c r="AA487" s="175"/>
      <c r="AB487" s="174"/>
      <c r="AC487" s="174"/>
      <c r="AD487" s="174"/>
      <c r="AE487" s="242" t="e">
        <v>#N/A</v>
      </c>
      <c r="AF487" s="175" t="e">
        <v>#N/A</v>
      </c>
      <c r="AG487" s="174" t="e">
        <v>#N/A</v>
      </c>
      <c r="AH487" s="175" t="e">
        <v>#N/A</v>
      </c>
      <c r="AI487" s="174"/>
      <c r="AJ487" s="174"/>
      <c r="AK487" s="174" t="e">
        <f t="shared" si="52"/>
        <v>#N/A</v>
      </c>
    </row>
    <row r="488" spans="26:37" ht="14.4" x14ac:dyDescent="0.3">
      <c r="Z488" s="174"/>
      <c r="AA488" s="175"/>
      <c r="AB488" s="174"/>
      <c r="AC488" s="174"/>
      <c r="AD488" s="174"/>
      <c r="AE488" s="242" t="e">
        <v>#N/A</v>
      </c>
      <c r="AF488" s="175" t="e">
        <v>#N/A</v>
      </c>
      <c r="AG488" s="174" t="e">
        <v>#N/A</v>
      </c>
      <c r="AH488" s="175" t="e">
        <v>#N/A</v>
      </c>
      <c r="AI488" s="174"/>
      <c r="AJ488" s="174"/>
      <c r="AK488" s="174" t="e">
        <f t="shared" si="52"/>
        <v>#N/A</v>
      </c>
    </row>
    <row r="489" spans="26:37" ht="14.4" x14ac:dyDescent="0.3">
      <c r="Z489" s="174"/>
      <c r="AA489" s="175"/>
      <c r="AB489" s="174"/>
      <c r="AC489" s="174"/>
      <c r="AD489" s="174"/>
      <c r="AE489" s="242" t="e">
        <v>#N/A</v>
      </c>
      <c r="AF489" s="175" t="e">
        <v>#N/A</v>
      </c>
      <c r="AG489" s="174" t="e">
        <v>#N/A</v>
      </c>
      <c r="AH489" s="175" t="e">
        <v>#N/A</v>
      </c>
      <c r="AI489" s="174"/>
      <c r="AJ489" s="174"/>
      <c r="AK489" s="174" t="e">
        <f t="shared" si="52"/>
        <v>#N/A</v>
      </c>
    </row>
    <row r="490" spans="26:37" ht="14.4" x14ac:dyDescent="0.3">
      <c r="Z490" s="174"/>
      <c r="AA490" s="175"/>
      <c r="AB490" s="174"/>
      <c r="AC490" s="174"/>
      <c r="AD490" s="174"/>
      <c r="AE490" s="242" t="e">
        <v>#N/A</v>
      </c>
      <c r="AF490" s="175" t="e">
        <v>#N/A</v>
      </c>
      <c r="AG490" s="174" t="e">
        <v>#N/A</v>
      </c>
      <c r="AH490" s="175" t="e">
        <v>#N/A</v>
      </c>
      <c r="AI490" s="174"/>
      <c r="AJ490" s="174"/>
      <c r="AK490" s="174" t="e">
        <f t="shared" si="52"/>
        <v>#N/A</v>
      </c>
    </row>
    <row r="491" spans="26:37" ht="14.4" x14ac:dyDescent="0.3">
      <c r="Z491" s="174"/>
      <c r="AA491" s="175"/>
      <c r="AB491" s="174"/>
      <c r="AC491" s="174"/>
      <c r="AD491" s="174"/>
      <c r="AE491" s="242" t="e">
        <v>#N/A</v>
      </c>
      <c r="AF491" s="175" t="e">
        <v>#N/A</v>
      </c>
      <c r="AG491" s="174" t="e">
        <v>#N/A</v>
      </c>
      <c r="AH491" s="175" t="e">
        <v>#N/A</v>
      </c>
      <c r="AI491" s="174"/>
      <c r="AJ491" s="174"/>
      <c r="AK491" s="174" t="e">
        <f t="shared" si="52"/>
        <v>#N/A</v>
      </c>
    </row>
    <row r="492" spans="26:37" ht="14.4" x14ac:dyDescent="0.3">
      <c r="Z492" s="174"/>
      <c r="AA492" s="175"/>
      <c r="AB492" s="174"/>
      <c r="AC492" s="174"/>
      <c r="AD492" s="174"/>
      <c r="AE492" s="242" t="e">
        <v>#N/A</v>
      </c>
      <c r="AF492" s="175" t="e">
        <v>#N/A</v>
      </c>
      <c r="AG492" s="174" t="e">
        <v>#N/A</v>
      </c>
      <c r="AH492" s="175" t="e">
        <v>#N/A</v>
      </c>
      <c r="AI492" s="174"/>
      <c r="AJ492" s="174"/>
      <c r="AK492" s="174" t="e">
        <f t="shared" si="52"/>
        <v>#N/A</v>
      </c>
    </row>
    <row r="493" spans="26:37" ht="14.4" x14ac:dyDescent="0.3">
      <c r="Z493" s="174"/>
      <c r="AA493" s="175"/>
      <c r="AB493" s="174"/>
      <c r="AC493" s="174"/>
      <c r="AD493" s="174"/>
      <c r="AE493" s="242" t="e">
        <v>#N/A</v>
      </c>
      <c r="AF493" s="175" t="e">
        <v>#N/A</v>
      </c>
      <c r="AG493" s="174" t="e">
        <v>#N/A</v>
      </c>
      <c r="AH493" s="175" t="e">
        <v>#N/A</v>
      </c>
      <c r="AI493" s="174"/>
      <c r="AJ493" s="174"/>
      <c r="AK493" s="174" t="e">
        <f t="shared" si="52"/>
        <v>#N/A</v>
      </c>
    </row>
    <row r="494" spans="26:37" ht="14.4" x14ac:dyDescent="0.3">
      <c r="Z494" s="174"/>
      <c r="AA494" s="175"/>
      <c r="AB494" s="174"/>
      <c r="AC494" s="174"/>
      <c r="AD494" s="174"/>
      <c r="AE494" s="242" t="e">
        <v>#N/A</v>
      </c>
      <c r="AF494" s="175" t="e">
        <v>#N/A</v>
      </c>
      <c r="AG494" s="174" t="e">
        <v>#N/A</v>
      </c>
      <c r="AH494" s="175" t="e">
        <v>#N/A</v>
      </c>
      <c r="AI494" s="174"/>
      <c r="AJ494" s="174"/>
      <c r="AK494" s="174" t="e">
        <f t="shared" si="52"/>
        <v>#N/A</v>
      </c>
    </row>
    <row r="495" spans="26:37" ht="14.4" x14ac:dyDescent="0.3">
      <c r="Z495" s="174"/>
      <c r="AA495" s="175"/>
      <c r="AB495" s="174"/>
      <c r="AC495" s="174"/>
      <c r="AD495" s="174"/>
      <c r="AE495" s="242" t="e">
        <v>#N/A</v>
      </c>
      <c r="AF495" s="175" t="e">
        <v>#N/A</v>
      </c>
      <c r="AG495" s="174" t="e">
        <v>#N/A</v>
      </c>
      <c r="AH495" s="175" t="e">
        <v>#N/A</v>
      </c>
      <c r="AI495" s="174"/>
      <c r="AJ495" s="174"/>
      <c r="AK495" s="174" t="e">
        <f t="shared" si="52"/>
        <v>#N/A</v>
      </c>
    </row>
    <row r="496" spans="26:37" ht="14.4" x14ac:dyDescent="0.3">
      <c r="Z496" s="174"/>
      <c r="AA496" s="175"/>
      <c r="AB496" s="174"/>
      <c r="AC496" s="174"/>
      <c r="AD496" s="174"/>
      <c r="AE496" s="242" t="e">
        <v>#N/A</v>
      </c>
      <c r="AF496" s="175" t="e">
        <v>#N/A</v>
      </c>
      <c r="AG496" s="174" t="e">
        <v>#N/A</v>
      </c>
      <c r="AH496" s="175" t="e">
        <v>#N/A</v>
      </c>
      <c r="AI496" s="174"/>
      <c r="AJ496" s="174"/>
      <c r="AK496" s="174" t="e">
        <f t="shared" si="52"/>
        <v>#N/A</v>
      </c>
    </row>
    <row r="497" spans="26:37" ht="14.4" x14ac:dyDescent="0.3">
      <c r="Z497" s="174"/>
      <c r="AA497" s="175"/>
      <c r="AB497" s="174"/>
      <c r="AC497" s="174"/>
      <c r="AD497" s="174"/>
      <c r="AE497" s="242" t="e">
        <v>#N/A</v>
      </c>
      <c r="AF497" s="175" t="e">
        <v>#N/A</v>
      </c>
      <c r="AG497" s="174" t="e">
        <v>#N/A</v>
      </c>
      <c r="AH497" s="175" t="e">
        <v>#N/A</v>
      </c>
      <c r="AI497" s="174"/>
      <c r="AJ497" s="174"/>
      <c r="AK497" s="174" t="e">
        <f t="shared" si="52"/>
        <v>#N/A</v>
      </c>
    </row>
    <row r="498" spans="26:37" ht="14.4" x14ac:dyDescent="0.3">
      <c r="Z498" s="174"/>
      <c r="AA498" s="175"/>
      <c r="AB498" s="174"/>
      <c r="AC498" s="174"/>
      <c r="AD498" s="174"/>
      <c r="AE498" s="242" t="e">
        <v>#N/A</v>
      </c>
      <c r="AF498" s="175" t="e">
        <v>#N/A</v>
      </c>
      <c r="AG498" s="174" t="e">
        <v>#N/A</v>
      </c>
      <c r="AH498" s="175" t="e">
        <v>#N/A</v>
      </c>
      <c r="AI498" s="174"/>
      <c r="AJ498" s="174"/>
      <c r="AK498" s="174" t="e">
        <f t="shared" si="52"/>
        <v>#N/A</v>
      </c>
    </row>
    <row r="499" spans="26:37" ht="14.4" x14ac:dyDescent="0.3">
      <c r="Z499" s="174"/>
      <c r="AA499" s="175"/>
      <c r="AB499" s="174"/>
      <c r="AC499" s="174"/>
      <c r="AD499" s="174"/>
      <c r="AE499" s="242" t="e">
        <v>#N/A</v>
      </c>
      <c r="AF499" s="175" t="e">
        <v>#N/A</v>
      </c>
      <c r="AG499" s="174" t="e">
        <v>#N/A</v>
      </c>
      <c r="AH499" s="175" t="e">
        <v>#N/A</v>
      </c>
      <c r="AI499" s="174"/>
      <c r="AJ499" s="174"/>
      <c r="AK499" s="174" t="e">
        <f t="shared" si="52"/>
        <v>#N/A</v>
      </c>
    </row>
    <row r="500" spans="26:37" ht="14.4" x14ac:dyDescent="0.3">
      <c r="Z500" s="174"/>
      <c r="AA500" s="175"/>
      <c r="AB500" s="174"/>
      <c r="AC500" s="174"/>
      <c r="AD500" s="174"/>
      <c r="AE500" s="242" t="e">
        <v>#N/A</v>
      </c>
      <c r="AF500" s="175" t="e">
        <v>#N/A</v>
      </c>
      <c r="AG500" s="174" t="e">
        <v>#N/A</v>
      </c>
      <c r="AH500" s="175" t="e">
        <v>#N/A</v>
      </c>
      <c r="AI500" s="174"/>
      <c r="AJ500" s="174"/>
      <c r="AK500" s="174" t="e">
        <f t="shared" si="52"/>
        <v>#N/A</v>
      </c>
    </row>
    <row r="501" spans="26:37" ht="14.4" x14ac:dyDescent="0.3">
      <c r="Z501" s="174"/>
      <c r="AA501" s="175"/>
      <c r="AB501" s="174"/>
      <c r="AC501" s="174"/>
      <c r="AD501" s="174"/>
      <c r="AE501" s="242" t="e">
        <v>#N/A</v>
      </c>
      <c r="AF501" s="175" t="e">
        <v>#N/A</v>
      </c>
      <c r="AG501" s="174" t="e">
        <v>#N/A</v>
      </c>
      <c r="AH501" s="175" t="e">
        <v>#N/A</v>
      </c>
      <c r="AI501" s="174"/>
      <c r="AJ501" s="174"/>
      <c r="AK501" s="174" t="e">
        <f t="shared" si="52"/>
        <v>#N/A</v>
      </c>
    </row>
    <row r="502" spans="26:37" ht="15" thickBot="1" x14ac:dyDescent="0.35">
      <c r="Z502" s="175" t="s">
        <v>407</v>
      </c>
      <c r="AA502" s="175"/>
      <c r="AB502" s="174"/>
      <c r="AC502" s="174"/>
      <c r="AD502" s="174"/>
      <c r="AE502" s="242" t="e">
        <v>#N/A</v>
      </c>
      <c r="AF502" s="175" t="e">
        <v>#N/A</v>
      </c>
      <c r="AG502" s="174" t="e">
        <v>#N/A</v>
      </c>
      <c r="AH502" s="175" t="e">
        <v>#N/A</v>
      </c>
      <c r="AI502" s="174"/>
      <c r="AJ502" s="174"/>
      <c r="AK502" s="174"/>
    </row>
    <row r="503" spans="26:37" ht="15" thickBot="1" x14ac:dyDescent="0.35">
      <c r="Z503" s="308" t="s">
        <v>1183</v>
      </c>
      <c r="AA503" s="314" t="s">
        <v>1904</v>
      </c>
      <c r="AB503" s="314" t="s">
        <v>1905</v>
      </c>
      <c r="AC503" s="314" t="s">
        <v>1906</v>
      </c>
      <c r="AD503" s="314" t="s">
        <v>1907</v>
      </c>
      <c r="AE503" s="242">
        <v>3606.7944399999997</v>
      </c>
      <c r="AF503" s="175">
        <v>147.22169</v>
      </c>
      <c r="AG503" s="174">
        <v>725.87396999999999</v>
      </c>
      <c r="AH503" s="175">
        <v>58946.700400000002</v>
      </c>
      <c r="AI503" s="310" t="s">
        <v>1928</v>
      </c>
      <c r="AJ503" s="311" t="s">
        <v>767</v>
      </c>
      <c r="AK503" s="309" t="str">
        <f>VLOOKUP(AI503,$AN$241:$AO$244,2,0)</f>
        <v>KOMP.</v>
      </c>
    </row>
    <row r="504" spans="26:37" ht="15" thickBot="1" x14ac:dyDescent="0.35">
      <c r="Z504" s="312" t="s">
        <v>1184</v>
      </c>
      <c r="AA504" s="315" t="s">
        <v>1908</v>
      </c>
      <c r="AB504" s="315" t="s">
        <v>1909</v>
      </c>
      <c r="AC504" s="315" t="s">
        <v>1910</v>
      </c>
      <c r="AD504" s="315" t="s">
        <v>1911</v>
      </c>
      <c r="AE504" s="242">
        <v>3591.1576400000004</v>
      </c>
      <c r="AF504" s="175">
        <v>146.58340999999999</v>
      </c>
      <c r="AG504" s="174">
        <v>722.72703000000001</v>
      </c>
      <c r="AH504" s="175">
        <v>58691.144480000003</v>
      </c>
      <c r="AI504" s="310" t="s">
        <v>1928</v>
      </c>
      <c r="AJ504" s="311" t="s">
        <v>767</v>
      </c>
      <c r="AK504" s="309" t="str">
        <f>VLOOKUP(AI504,$AN$241:$AO$244,2,0)</f>
        <v>KOMP.</v>
      </c>
    </row>
    <row r="505" spans="26:37" ht="15" thickBot="1" x14ac:dyDescent="0.35">
      <c r="Z505" s="312" t="s">
        <v>1185</v>
      </c>
      <c r="AA505" s="315" t="s">
        <v>1912</v>
      </c>
      <c r="AB505" s="315" t="s">
        <v>1913</v>
      </c>
      <c r="AC505" s="315" t="s">
        <v>1914</v>
      </c>
      <c r="AD505" s="315" t="s">
        <v>1915</v>
      </c>
      <c r="AE505" s="242">
        <v>3767.3508199999997</v>
      </c>
      <c r="AF505" s="175">
        <v>153.77526</v>
      </c>
      <c r="AG505" s="174">
        <v>758.18623000000002</v>
      </c>
      <c r="AH505" s="175">
        <v>61570.711770000002</v>
      </c>
      <c r="AI505" s="310" t="s">
        <v>1928</v>
      </c>
      <c r="AJ505" s="311" t="s">
        <v>767</v>
      </c>
      <c r="AK505" s="309" t="str">
        <f>VLOOKUP(AI505,$AN$241:$AO$244,2,0)</f>
        <v>KOMP.</v>
      </c>
    </row>
    <row r="506" spans="26:37" ht="15" thickBot="1" x14ac:dyDescent="0.35">
      <c r="Z506" s="312" t="s">
        <v>1186</v>
      </c>
      <c r="AA506" s="315" t="s">
        <v>1916</v>
      </c>
      <c r="AB506" s="315" t="s">
        <v>1917</v>
      </c>
      <c r="AC506" s="315" t="s">
        <v>1918</v>
      </c>
      <c r="AD506" s="315" t="s">
        <v>1919</v>
      </c>
      <c r="AE506" s="242">
        <v>3912.5496300000004</v>
      </c>
      <c r="AF506" s="175">
        <v>159.70195999999999</v>
      </c>
      <c r="AG506" s="174">
        <v>787.40776000000005</v>
      </c>
      <c r="AH506" s="175">
        <v>63943.730710000003</v>
      </c>
      <c r="AI506" s="310" t="s">
        <v>1928</v>
      </c>
      <c r="AJ506" s="311" t="s">
        <v>767</v>
      </c>
      <c r="AK506" s="309" t="str">
        <f>VLOOKUP(AI506,$AN$241:$AO$244,2,0)</f>
        <v>KOMP.</v>
      </c>
    </row>
    <row r="507" spans="26:37" ht="15" thickBot="1" x14ac:dyDescent="0.35">
      <c r="Z507" s="308" t="s">
        <v>1189</v>
      </c>
      <c r="AA507" s="315" t="s">
        <v>1920</v>
      </c>
      <c r="AB507" s="315" t="s">
        <v>1921</v>
      </c>
      <c r="AC507" s="315" t="s">
        <v>1922</v>
      </c>
      <c r="AD507" s="315" t="s">
        <v>1923</v>
      </c>
      <c r="AE507" s="242">
        <v>4027.59177</v>
      </c>
      <c r="AF507" s="175">
        <v>164.39774</v>
      </c>
      <c r="AG507" s="174">
        <v>810.56017999999995</v>
      </c>
      <c r="AH507" s="175">
        <v>65823.891799999998</v>
      </c>
      <c r="AI507" s="310" t="s">
        <v>1928</v>
      </c>
      <c r="AJ507" s="311" t="s">
        <v>767</v>
      </c>
      <c r="AK507" s="309" t="str">
        <f>VLOOKUP(AI507,$AN$241:$AO$244,2,0)</f>
        <v>KOMP.</v>
      </c>
    </row>
    <row r="508" spans="26:37" ht="14.4" x14ac:dyDescent="0.3">
      <c r="Z508" s="174">
        <v>0</v>
      </c>
      <c r="AA508" s="175"/>
      <c r="AB508" s="174"/>
      <c r="AC508" s="174"/>
      <c r="AD508" s="174"/>
      <c r="AE508" s="242"/>
      <c r="AF508" s="175"/>
      <c r="AG508" s="174" t="e">
        <v>#N/A</v>
      </c>
      <c r="AH508" s="175" t="e">
        <v>#N/A</v>
      </c>
      <c r="AI508" s="174"/>
      <c r="AJ508" s="174"/>
      <c r="AK508" s="174"/>
    </row>
    <row r="509" spans="26:37" ht="14.4" x14ac:dyDescent="0.3">
      <c r="Z509" t="s">
        <v>595</v>
      </c>
      <c r="AA509" s="175" t="s">
        <v>1009</v>
      </c>
      <c r="AB509" s="174" t="s">
        <v>1010</v>
      </c>
      <c r="AC509" s="174" t="s">
        <v>1011</v>
      </c>
      <c r="AD509" s="174" t="s">
        <v>1012</v>
      </c>
      <c r="AE509" s="242">
        <v>3084.3579399999999</v>
      </c>
      <c r="AF509" s="175">
        <v>125.89695</v>
      </c>
      <c r="AG509" s="174">
        <v>620.73266999999998</v>
      </c>
      <c r="AH509" s="175">
        <v>50408.396110000001</v>
      </c>
      <c r="AI509" s="174" t="s">
        <v>643</v>
      </c>
      <c r="AJ509" s="174" t="s">
        <v>767</v>
      </c>
    </row>
    <row r="510" spans="26:37" ht="14.4" x14ac:dyDescent="0.3">
      <c r="Z510" t="s">
        <v>591</v>
      </c>
      <c r="AA510" s="175" t="s">
        <v>981</v>
      </c>
      <c r="AB510" s="174" t="s">
        <v>982</v>
      </c>
      <c r="AC510" s="174" t="s">
        <v>983</v>
      </c>
      <c r="AD510" s="174" t="s">
        <v>984</v>
      </c>
      <c r="AE510" s="242">
        <v>3068.7211400000001</v>
      </c>
      <c r="AF510" s="175">
        <v>125.25867</v>
      </c>
      <c r="AG510" s="174">
        <v>617.58573000000001</v>
      </c>
      <c r="AH510" s="175">
        <v>50152.840190000003</v>
      </c>
      <c r="AI510" s="174" t="s">
        <v>643</v>
      </c>
      <c r="AJ510" s="174" t="s">
        <v>767</v>
      </c>
    </row>
    <row r="511" spans="26:37" ht="14.4" x14ac:dyDescent="0.3">
      <c r="Z511" t="s">
        <v>592</v>
      </c>
      <c r="AA511" s="175" t="s">
        <v>988</v>
      </c>
      <c r="AB511" s="174" t="s">
        <v>989</v>
      </c>
      <c r="AC511" s="174" t="s">
        <v>990</v>
      </c>
      <c r="AD511" s="174" t="s">
        <v>991</v>
      </c>
      <c r="AE511" s="242">
        <v>3244.9143199999999</v>
      </c>
      <c r="AF511" s="175">
        <v>132.45052000000001</v>
      </c>
      <c r="AG511" s="174">
        <v>653.04493000000002</v>
      </c>
      <c r="AH511" s="175">
        <v>53032.407480000002</v>
      </c>
      <c r="AI511" s="174" t="s">
        <v>643</v>
      </c>
      <c r="AJ511" s="174" t="s">
        <v>767</v>
      </c>
    </row>
    <row r="512" spans="26:37" ht="14.4" x14ac:dyDescent="0.3">
      <c r="Z512" t="s">
        <v>593</v>
      </c>
      <c r="AA512" s="175" t="s">
        <v>992</v>
      </c>
      <c r="AB512" s="174" t="s">
        <v>993</v>
      </c>
      <c r="AC512" s="174" t="s">
        <v>994</v>
      </c>
      <c r="AD512" s="174" t="s">
        <v>995</v>
      </c>
      <c r="AE512" s="242">
        <v>3390.1131300000002</v>
      </c>
      <c r="AF512" s="175">
        <v>138.37721999999999</v>
      </c>
      <c r="AG512" s="174">
        <v>682.26646000000005</v>
      </c>
      <c r="AH512" s="175">
        <v>55405.426420000003</v>
      </c>
      <c r="AI512" s="174" t="s">
        <v>643</v>
      </c>
      <c r="AJ512" s="174" t="s">
        <v>767</v>
      </c>
    </row>
    <row r="513" spans="26:36" ht="14.4" x14ac:dyDescent="0.3">
      <c r="Z513" t="s">
        <v>594</v>
      </c>
      <c r="AA513" s="175" t="s">
        <v>996</v>
      </c>
      <c r="AB513" s="174" t="s">
        <v>997</v>
      </c>
      <c r="AC513" s="174" t="s">
        <v>998</v>
      </c>
      <c r="AD513" s="174" t="s">
        <v>999</v>
      </c>
      <c r="AE513" s="242">
        <v>3505.1552700000002</v>
      </c>
      <c r="AF513" s="175">
        <v>143.07300000000001</v>
      </c>
      <c r="AG513" s="174">
        <v>705.41887999999994</v>
      </c>
      <c r="AH513" s="175">
        <v>57285.587509999998</v>
      </c>
      <c r="AI513" s="174" t="s">
        <v>643</v>
      </c>
      <c r="AJ513" s="174" t="s">
        <v>767</v>
      </c>
    </row>
    <row r="514" spans="26:36" ht="14.4" x14ac:dyDescent="0.3">
      <c r="Z514" t="s">
        <v>793</v>
      </c>
      <c r="AA514" s="175" t="e">
        <v>#N/A</v>
      </c>
      <c r="AB514" s="174" t="e">
        <v>#N/A</v>
      </c>
      <c r="AC514" s="174" t="e">
        <v>#N/A</v>
      </c>
      <c r="AD514" s="174" t="e">
        <v>#N/A</v>
      </c>
      <c r="AE514" s="242" t="e">
        <v>#N/A</v>
      </c>
      <c r="AF514" s="175" t="e">
        <v>#N/A</v>
      </c>
      <c r="AG514" s="174" t="e">
        <v>#N/A</v>
      </c>
      <c r="AH514" s="175" t="e">
        <v>#N/A</v>
      </c>
      <c r="AI514" s="174" t="e">
        <v>#N/A</v>
      </c>
      <c r="AJ514" s="174" t="e">
        <v>#N/A</v>
      </c>
    </row>
    <row r="515" spans="26:36" ht="14.4" x14ac:dyDescent="0.3">
      <c r="Z515" t="s">
        <v>442</v>
      </c>
      <c r="AA515" s="175" t="s">
        <v>1150</v>
      </c>
      <c r="AB515" s="174" t="s">
        <v>1151</v>
      </c>
      <c r="AC515" s="174" t="s">
        <v>1507</v>
      </c>
      <c r="AD515" s="174" t="s">
        <v>1152</v>
      </c>
      <c r="AE515" s="242">
        <v>522.43650000000002</v>
      </c>
      <c r="AF515" s="175">
        <v>21.324739999999998</v>
      </c>
      <c r="AG515" s="174">
        <v>105.1413</v>
      </c>
      <c r="AH515" s="175">
        <v>8538.30429</v>
      </c>
      <c r="AI515" s="174" t="s">
        <v>657</v>
      </c>
      <c r="AJ515" s="174" t="s">
        <v>767</v>
      </c>
    </row>
    <row r="516" spans="26:36" ht="14.4" x14ac:dyDescent="0.3">
      <c r="AG516" s="313"/>
      <c r="AH516" s="242"/>
    </row>
  </sheetData>
  <sheetProtection selectLockedCells="1" selectUnlockedCells="1"/>
  <autoFilter ref="Z246:AK515" xr:uid="{7B2C801C-BA25-40D8-8681-2E6ED46DBB69}"/>
  <mergeCells count="16">
    <mergeCell ref="C70:E70"/>
    <mergeCell ref="G70:I70"/>
    <mergeCell ref="AO40:AP40"/>
    <mergeCell ref="AT40:AU40"/>
    <mergeCell ref="AO50:AP50"/>
    <mergeCell ref="AT50:AU50"/>
    <mergeCell ref="AO4:AP4"/>
    <mergeCell ref="AT4:AU4"/>
    <mergeCell ref="C46:E46"/>
    <mergeCell ref="G46:I46"/>
    <mergeCell ref="AO10:AP10"/>
    <mergeCell ref="AT10:AU10"/>
    <mergeCell ref="AO21:AP21"/>
    <mergeCell ref="AT21:AU21"/>
    <mergeCell ref="AO29:AP29"/>
    <mergeCell ref="AT29:AU29"/>
  </mergeCells>
  <phoneticPr fontId="0" type="noConversion"/>
  <pageMargins left="0.44" right="0.45" top="0.984251969" bottom="0.984251969" header="0.4921259845" footer="0.4921259845"/>
  <pageSetup paperSize="9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7B589DE3CD4CD4B9ABE73247E9CD984" ma:contentTypeVersion="11" ma:contentTypeDescription="Create a new document." ma:contentTypeScope="" ma:versionID="a5fcef583eb3a8403a18bba936124b47">
  <xsd:schema xmlns:xsd="http://www.w3.org/2001/XMLSchema" xmlns:xs="http://www.w3.org/2001/XMLSchema" xmlns:p="http://schemas.microsoft.com/office/2006/metadata/properties" xmlns:ns3="05d1ad1e-a998-4002-b068-7c192d38ac3c" xmlns:ns4="54169a37-c48c-4bd9-adaa-e7836327527d" targetNamespace="http://schemas.microsoft.com/office/2006/metadata/properties" ma:root="true" ma:fieldsID="4941ebb341cd72bc902699095ff80605" ns3:_="" ns4:_="">
    <xsd:import namespace="05d1ad1e-a998-4002-b068-7c192d38ac3c"/>
    <xsd:import namespace="54169a37-c48c-4bd9-adaa-e7836327527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5d1ad1e-a998-4002-b068-7c192d38ac3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169a37-c48c-4bd9-adaa-e7836327527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37CAA0D-9E06-4771-A44C-2287CB5C236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5d1ad1e-a998-4002-b068-7c192d38ac3c"/>
    <ds:schemaRef ds:uri="54169a37-c48c-4bd9-adaa-e783632752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4B8C611-AAD1-4912-AB13-424050A7C42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20D0CCC-0BDA-4B36-AD22-64279A255B92}">
  <ds:schemaRefs>
    <ds:schemaRef ds:uri="http://schemas.microsoft.com/office/2006/documentManagement/types"/>
    <ds:schemaRef ds:uri="54169a37-c48c-4bd9-adaa-e7836327527d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05d1ad1e-a998-4002-b068-7c192d38ac3c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12</vt:i4>
      </vt:variant>
      <vt:variant>
        <vt:lpstr>Pojmenované oblasti</vt:lpstr>
      </vt:variant>
      <vt:variant>
        <vt:i4>8</vt:i4>
      </vt:variant>
    </vt:vector>
  </HeadingPairs>
  <TitlesOfParts>
    <vt:vector size="20" baseType="lpstr">
      <vt:lpstr>Titulní</vt:lpstr>
      <vt:lpstr>Slevy a rabaty</vt:lpstr>
      <vt:lpstr>Kalkulace</vt:lpstr>
      <vt:lpstr>Úvod</vt:lpstr>
      <vt:lpstr>Objednávka žaluzií</vt:lpstr>
      <vt:lpstr>CHYBY</vt:lpstr>
      <vt:lpstr>UKOLY a NUTNE PREKLADY</vt:lpstr>
      <vt:lpstr>Návod</vt:lpstr>
      <vt:lpstr>výpočty</vt:lpstr>
      <vt:lpstr>InfoSort</vt:lpstr>
      <vt:lpstr>Odečty</vt:lpstr>
      <vt:lpstr>Překlady</vt:lpstr>
      <vt:lpstr>BARVA</vt:lpstr>
      <vt:lpstr>výpočty!Extrakce</vt:lpstr>
      <vt:lpstr>výpočty!Kriteria</vt:lpstr>
      <vt:lpstr>NAVIJENI</vt:lpstr>
      <vt:lpstr>OBJ_KUSY</vt:lpstr>
      <vt:lpstr>PRIPRAVA</vt:lpstr>
      <vt:lpstr>SMER</vt:lpstr>
      <vt:lpstr>VEDENI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Pavel Grygar</dc:creator>
  <cp:lastModifiedBy>Slaběňák Jiří</cp:lastModifiedBy>
  <cp:lastPrinted>2019-03-15T13:14:32Z</cp:lastPrinted>
  <dcterms:created xsi:type="dcterms:W3CDTF">2007-08-23T18:29:49Z</dcterms:created>
  <dcterms:modified xsi:type="dcterms:W3CDTF">2025-03-21T10:04:24Z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0x01010037B589DE3CD4CD4B9ABE73247E9CD984</vt:lpwstr>
  </property>
</Properties>
</file>